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et Banerjee\Downloads\"/>
    </mc:Choice>
  </mc:AlternateContent>
  <bookViews>
    <workbookView xWindow="-120" yWindow="-240" windowWidth="27795" windowHeight="12585"/>
  </bookViews>
  <sheets>
    <sheet name="Sheet1" sheetId="5" r:id="rId1"/>
  </sheets>
  <definedNames>
    <definedName name="benchmarkgrowthrate1">Sheet1!$G$8</definedName>
    <definedName name="benchmarkgrowthrate2">Sheet1!$G$9</definedName>
    <definedName name="benchmarkgrowthrate3">Sheet1!$G$10</definedName>
    <definedName name="ccca1">Sheet1!$G$66</definedName>
    <definedName name="ccca2">Sheet1!$G$86</definedName>
    <definedName name="ccca3">Sheet1!$G$106</definedName>
    <definedName name="cccb1">Sheet1!$K$66</definedName>
    <definedName name="cccb2">Sheet1!$K$86</definedName>
    <definedName name="cccb3">Sheet1!$K$106</definedName>
    <definedName name="costa1">Sheet1!$G$66</definedName>
    <definedName name="costportfolioA1">Sheet1!$K$8</definedName>
    <definedName name="costportfolioA2">Sheet1!$K$9</definedName>
    <definedName name="costportfolioA3">Sheet1!$K$10</definedName>
    <definedName name="costportfolioB1">Sheet1!$M$8</definedName>
    <definedName name="costportfolioB2">Sheet1!$M$9</definedName>
    <definedName name="costportfolioB3">Sheet1!$M$10</definedName>
    <definedName name="IncomeGrowth2544">#REF!</definedName>
    <definedName name="incomegrowthrate1">Sheet1!$C$8</definedName>
    <definedName name="incomegrowthrate2">Sheet1!$C$9</definedName>
    <definedName name="inflationrate1">Sheet1!$I$8</definedName>
    <definedName name="inflationrate2">Sheet1!$I$9</definedName>
    <definedName name="inflationrate3">Sheet1!$I$10</definedName>
    <definedName name="rate">Sheet1!$F$136</definedName>
    <definedName name="savingsrate1">Sheet1!$E$8</definedName>
    <definedName name="savingsrate2">Sheet1!$E$9</definedName>
    <definedName name="startingincome">Sheet1!$C$5</definedName>
  </definedNames>
  <calcPr calcId="152511"/>
</workbook>
</file>

<file path=xl/calcChain.xml><?xml version="1.0" encoding="utf-8"?>
<calcChain xmlns="http://schemas.openxmlformats.org/spreadsheetml/2006/main">
  <c r="L2" i="5" l="1"/>
  <c r="H2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17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5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3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K107" i="5" l="1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0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8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6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0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8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66" i="5"/>
  <c r="D136" i="5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66" i="5"/>
  <c r="E66" i="5" s="1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8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66" i="5"/>
  <c r="E136" i="5" l="1"/>
  <c r="I136" i="5" s="1"/>
  <c r="I66" i="5"/>
  <c r="M66" i="5"/>
  <c r="N66" i="5"/>
  <c r="D67" i="5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E105" i="5" s="1"/>
  <c r="H66" i="5"/>
  <c r="J66" i="5" l="1"/>
  <c r="N136" i="5"/>
  <c r="M136" i="5"/>
  <c r="H136" i="5"/>
  <c r="E137" i="5"/>
  <c r="I137" i="5" s="1"/>
  <c r="O66" i="5"/>
  <c r="E70" i="5"/>
  <c r="E67" i="5"/>
  <c r="E83" i="5"/>
  <c r="E104" i="5"/>
  <c r="E80" i="5"/>
  <c r="E101" i="5"/>
  <c r="E81" i="5"/>
  <c r="E71" i="5"/>
  <c r="E68" i="5"/>
  <c r="E69" i="5"/>
  <c r="E85" i="5"/>
  <c r="E74" i="5"/>
  <c r="E95" i="5"/>
  <c r="E92" i="5"/>
  <c r="E89" i="5"/>
  <c r="E73" i="5"/>
  <c r="E94" i="5"/>
  <c r="E78" i="5"/>
  <c r="E87" i="5"/>
  <c r="E88" i="5"/>
  <c r="E84" i="5"/>
  <c r="E75" i="5"/>
  <c r="E72" i="5"/>
  <c r="E99" i="5"/>
  <c r="E79" i="5"/>
  <c r="E96" i="5"/>
  <c r="E76" i="5"/>
  <c r="E97" i="5"/>
  <c r="E77" i="5"/>
  <c r="E98" i="5"/>
  <c r="E102" i="5"/>
  <c r="E103" i="5"/>
  <c r="E91" i="5"/>
  <c r="E100" i="5"/>
  <c r="E93" i="5"/>
  <c r="E90" i="5"/>
  <c r="E86" i="5"/>
  <c r="E82" i="5"/>
  <c r="I67" i="5" l="1"/>
  <c r="H68" i="5" s="1"/>
  <c r="O136" i="5"/>
  <c r="J136" i="5"/>
  <c r="H137" i="5"/>
  <c r="M137" i="5"/>
  <c r="N137" i="5"/>
  <c r="E138" i="5"/>
  <c r="I138" i="5" s="1"/>
  <c r="N67" i="5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L106" i="5" s="1"/>
  <c r="M67" i="5"/>
  <c r="H67" i="5"/>
  <c r="I68" i="5" l="1"/>
  <c r="J67" i="5"/>
  <c r="F60" i="5"/>
  <c r="J137" i="5"/>
  <c r="O67" i="5"/>
  <c r="O137" i="5"/>
  <c r="H138" i="5"/>
  <c r="N138" i="5"/>
  <c r="M138" i="5"/>
  <c r="E139" i="5"/>
  <c r="I139" i="5" s="1"/>
  <c r="M68" i="5"/>
  <c r="J68" i="5"/>
  <c r="I69" i="5"/>
  <c r="H69" i="5"/>
  <c r="L107" i="5" l="1"/>
  <c r="F58" i="5"/>
  <c r="N139" i="5"/>
  <c r="M139" i="5"/>
  <c r="J138" i="5"/>
  <c r="H139" i="5"/>
  <c r="O138" i="5"/>
  <c r="E140" i="5"/>
  <c r="I140" i="5" s="1"/>
  <c r="J69" i="5"/>
  <c r="O68" i="5"/>
  <c r="M69" i="5"/>
  <c r="H70" i="5"/>
  <c r="I70" i="5"/>
  <c r="L108" i="5" l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J139" i="5"/>
  <c r="O139" i="5"/>
  <c r="H140" i="5"/>
  <c r="M140" i="5"/>
  <c r="N140" i="5"/>
  <c r="E141" i="5"/>
  <c r="I141" i="5" s="1"/>
  <c r="O69" i="5"/>
  <c r="M70" i="5"/>
  <c r="O70" i="5" s="1"/>
  <c r="J70" i="5"/>
  <c r="H71" i="5"/>
  <c r="I71" i="5"/>
  <c r="F61" i="5" l="1"/>
  <c r="O140" i="5"/>
  <c r="H141" i="5"/>
  <c r="J140" i="5"/>
  <c r="M141" i="5"/>
  <c r="N141" i="5"/>
  <c r="E142" i="5"/>
  <c r="I142" i="5" s="1"/>
  <c r="M71" i="5"/>
  <c r="J71" i="5"/>
  <c r="I72" i="5"/>
  <c r="H72" i="5"/>
  <c r="O141" i="5" l="1"/>
  <c r="H142" i="5"/>
  <c r="N142" i="5"/>
  <c r="M142" i="5"/>
  <c r="J141" i="5"/>
  <c r="E143" i="5"/>
  <c r="I143" i="5" s="1"/>
  <c r="J72" i="5"/>
  <c r="M72" i="5"/>
  <c r="O71" i="5"/>
  <c r="I73" i="5"/>
  <c r="H73" i="5"/>
  <c r="O142" i="5" l="1"/>
  <c r="M143" i="5"/>
  <c r="N143" i="5"/>
  <c r="H143" i="5"/>
  <c r="J142" i="5"/>
  <c r="E144" i="5"/>
  <c r="I144" i="5" s="1"/>
  <c r="O72" i="5"/>
  <c r="M73" i="5"/>
  <c r="J73" i="5"/>
  <c r="H74" i="5"/>
  <c r="I74" i="5"/>
  <c r="O143" i="5" l="1"/>
  <c r="H144" i="5"/>
  <c r="J143" i="5"/>
  <c r="M144" i="5"/>
  <c r="N144" i="5"/>
  <c r="E145" i="5"/>
  <c r="I145" i="5" s="1"/>
  <c r="M74" i="5"/>
  <c r="O73" i="5"/>
  <c r="J74" i="5"/>
  <c r="H75" i="5"/>
  <c r="I75" i="5"/>
  <c r="O144" i="5" l="1"/>
  <c r="H145" i="5"/>
  <c r="M145" i="5"/>
  <c r="N145" i="5"/>
  <c r="J144" i="5"/>
  <c r="E146" i="5"/>
  <c r="I146" i="5" s="1"/>
  <c r="M75" i="5"/>
  <c r="O74" i="5"/>
  <c r="J75" i="5"/>
  <c r="I76" i="5"/>
  <c r="H76" i="5"/>
  <c r="N146" i="5" l="1"/>
  <c r="M146" i="5"/>
  <c r="O145" i="5"/>
  <c r="H146" i="5"/>
  <c r="J145" i="5"/>
  <c r="E147" i="5"/>
  <c r="I147" i="5" s="1"/>
  <c r="M76" i="5"/>
  <c r="O76" i="5" s="1"/>
  <c r="O75" i="5"/>
  <c r="J76" i="5"/>
  <c r="I77" i="5"/>
  <c r="H77" i="5"/>
  <c r="J146" i="5" l="1"/>
  <c r="O146" i="5"/>
  <c r="H147" i="5"/>
  <c r="M147" i="5"/>
  <c r="N147" i="5"/>
  <c r="E148" i="5"/>
  <c r="I148" i="5" s="1"/>
  <c r="J77" i="5"/>
  <c r="M77" i="5"/>
  <c r="O77" i="5" s="1"/>
  <c r="H78" i="5"/>
  <c r="I78" i="5"/>
  <c r="M148" i="5" l="1"/>
  <c r="N148" i="5"/>
  <c r="O147" i="5"/>
  <c r="H148" i="5"/>
  <c r="J147" i="5"/>
  <c r="E149" i="5"/>
  <c r="I149" i="5" s="1"/>
  <c r="M78" i="5"/>
  <c r="J78" i="5"/>
  <c r="H79" i="5"/>
  <c r="I79" i="5"/>
  <c r="J148" i="5" l="1"/>
  <c r="M149" i="5"/>
  <c r="N149" i="5"/>
  <c r="H149" i="5"/>
  <c r="O148" i="5"/>
  <c r="E150" i="5"/>
  <c r="I150" i="5" s="1"/>
  <c r="O78" i="5"/>
  <c r="M79" i="5"/>
  <c r="J79" i="5"/>
  <c r="I80" i="5"/>
  <c r="H80" i="5"/>
  <c r="J149" i="5" l="1"/>
  <c r="H150" i="5"/>
  <c r="N150" i="5"/>
  <c r="M150" i="5"/>
  <c r="O149" i="5"/>
  <c r="E151" i="5"/>
  <c r="I151" i="5" s="1"/>
  <c r="O79" i="5"/>
  <c r="M80" i="5"/>
  <c r="J80" i="5"/>
  <c r="I81" i="5"/>
  <c r="H81" i="5"/>
  <c r="O150" i="5" l="1"/>
  <c r="M151" i="5"/>
  <c r="N151" i="5"/>
  <c r="H151" i="5"/>
  <c r="J150" i="5"/>
  <c r="E152" i="5"/>
  <c r="I152" i="5" s="1"/>
  <c r="M81" i="5"/>
  <c r="O81" i="5" s="1"/>
  <c r="O80" i="5"/>
  <c r="J81" i="5"/>
  <c r="H82" i="5"/>
  <c r="I82" i="5"/>
  <c r="H152" i="5" l="1"/>
  <c r="J151" i="5"/>
  <c r="N152" i="5"/>
  <c r="M152" i="5"/>
  <c r="O151" i="5"/>
  <c r="E153" i="5"/>
  <c r="I153" i="5" s="1"/>
  <c r="M82" i="5"/>
  <c r="O82" i="5" s="1"/>
  <c r="J82" i="5"/>
  <c r="H83" i="5"/>
  <c r="I83" i="5"/>
  <c r="J152" i="5" l="1"/>
  <c r="M153" i="5"/>
  <c r="N153" i="5"/>
  <c r="H153" i="5"/>
  <c r="O152" i="5"/>
  <c r="E154" i="5"/>
  <c r="I154" i="5" s="1"/>
  <c r="M83" i="5"/>
  <c r="O83" i="5" s="1"/>
  <c r="J83" i="5"/>
  <c r="I84" i="5"/>
  <c r="H84" i="5"/>
  <c r="J153" i="5" l="1"/>
  <c r="N154" i="5"/>
  <c r="M154" i="5"/>
  <c r="H154" i="5"/>
  <c r="J154" i="5" s="1"/>
  <c r="O153" i="5"/>
  <c r="E155" i="5"/>
  <c r="I155" i="5" s="1"/>
  <c r="J84" i="5"/>
  <c r="M84" i="5"/>
  <c r="I85" i="5"/>
  <c r="H85" i="5"/>
  <c r="O154" i="5" l="1"/>
  <c r="N155" i="5"/>
  <c r="M155" i="5"/>
  <c r="H155" i="5"/>
  <c r="E156" i="5"/>
  <c r="I156" i="5" s="1"/>
  <c r="J85" i="5"/>
  <c r="M85" i="5"/>
  <c r="O84" i="5"/>
  <c r="I86" i="5"/>
  <c r="H86" i="5"/>
  <c r="J155" i="5" l="1"/>
  <c r="O155" i="5"/>
  <c r="M156" i="5"/>
  <c r="N156" i="5"/>
  <c r="H156" i="5"/>
  <c r="E157" i="5"/>
  <c r="I157" i="5" s="1"/>
  <c r="O85" i="5"/>
  <c r="M86" i="5"/>
  <c r="J86" i="5"/>
  <c r="H87" i="5"/>
  <c r="I87" i="5"/>
  <c r="J156" i="5" l="1"/>
  <c r="H157" i="5"/>
  <c r="N157" i="5"/>
  <c r="M157" i="5"/>
  <c r="O156" i="5"/>
  <c r="E158" i="5"/>
  <c r="I158" i="5" s="1"/>
  <c r="O86" i="5"/>
  <c r="M87" i="5"/>
  <c r="O87" i="5" s="1"/>
  <c r="J87" i="5"/>
  <c r="I88" i="5"/>
  <c r="H88" i="5"/>
  <c r="O157" i="5" l="1"/>
  <c r="J157" i="5"/>
  <c r="N158" i="5"/>
  <c r="M158" i="5"/>
  <c r="H158" i="5"/>
  <c r="E159" i="5"/>
  <c r="I159" i="5" s="1"/>
  <c r="M88" i="5"/>
  <c r="J88" i="5"/>
  <c r="H89" i="5"/>
  <c r="I89" i="5"/>
  <c r="J158" i="5" l="1"/>
  <c r="O158" i="5"/>
  <c r="H159" i="5"/>
  <c r="N159" i="5"/>
  <c r="M159" i="5"/>
  <c r="E160" i="5"/>
  <c r="I160" i="5" s="1"/>
  <c r="O88" i="5"/>
  <c r="M89" i="5"/>
  <c r="O89" i="5" s="1"/>
  <c r="J89" i="5"/>
  <c r="I90" i="5"/>
  <c r="H90" i="5"/>
  <c r="J159" i="5" l="1"/>
  <c r="O159" i="5"/>
  <c r="N160" i="5"/>
  <c r="M160" i="5"/>
  <c r="H160" i="5"/>
  <c r="E161" i="5"/>
  <c r="I161" i="5" s="1"/>
  <c r="M90" i="5"/>
  <c r="O90" i="5" s="1"/>
  <c r="J90" i="5"/>
  <c r="H91" i="5"/>
  <c r="I91" i="5"/>
  <c r="O160" i="5" l="1"/>
  <c r="H161" i="5"/>
  <c r="J160" i="5"/>
  <c r="N161" i="5"/>
  <c r="M161" i="5"/>
  <c r="E162" i="5"/>
  <c r="I162" i="5" s="1"/>
  <c r="M91" i="5"/>
  <c r="O91" i="5" s="1"/>
  <c r="J91" i="5"/>
  <c r="H92" i="5"/>
  <c r="I92" i="5"/>
  <c r="J161" i="5" l="1"/>
  <c r="N162" i="5"/>
  <c r="M162" i="5"/>
  <c r="O161" i="5"/>
  <c r="H162" i="5"/>
  <c r="E163" i="5"/>
  <c r="I163" i="5" s="1"/>
  <c r="M92" i="5"/>
  <c r="O92" i="5" s="1"/>
  <c r="J92" i="5"/>
  <c r="I93" i="5"/>
  <c r="H93" i="5"/>
  <c r="O162" i="5" l="1"/>
  <c r="H163" i="5"/>
  <c r="J162" i="5"/>
  <c r="N163" i="5"/>
  <c r="M163" i="5"/>
  <c r="E164" i="5"/>
  <c r="I164" i="5" s="1"/>
  <c r="M93" i="5"/>
  <c r="J93" i="5"/>
  <c r="I94" i="5"/>
  <c r="H94" i="5"/>
  <c r="N164" i="5" l="1"/>
  <c r="M164" i="5"/>
  <c r="H164" i="5"/>
  <c r="O163" i="5"/>
  <c r="J163" i="5"/>
  <c r="E165" i="5"/>
  <c r="I165" i="5" s="1"/>
  <c r="M94" i="5"/>
  <c r="O93" i="5"/>
  <c r="J94" i="5"/>
  <c r="H95" i="5"/>
  <c r="I95" i="5"/>
  <c r="O164" i="5" l="1"/>
  <c r="J164" i="5"/>
  <c r="H165" i="5"/>
  <c r="N165" i="5"/>
  <c r="M165" i="5"/>
  <c r="E166" i="5"/>
  <c r="I166" i="5" s="1"/>
  <c r="M95" i="5"/>
  <c r="O94" i="5"/>
  <c r="J95" i="5"/>
  <c r="I96" i="5"/>
  <c r="H96" i="5"/>
  <c r="O165" i="5" l="1"/>
  <c r="N166" i="5"/>
  <c r="M166" i="5"/>
  <c r="H166" i="5"/>
  <c r="J165" i="5"/>
  <c r="E167" i="5"/>
  <c r="I167" i="5" s="1"/>
  <c r="M96" i="5"/>
  <c r="O96" i="5" s="1"/>
  <c r="O95" i="5"/>
  <c r="J96" i="5"/>
  <c r="H97" i="5"/>
  <c r="I97" i="5"/>
  <c r="J166" i="5" l="1"/>
  <c r="O166" i="5"/>
  <c r="H167" i="5"/>
  <c r="N167" i="5"/>
  <c r="M167" i="5"/>
  <c r="E168" i="5"/>
  <c r="I168" i="5" s="1"/>
  <c r="M97" i="5"/>
  <c r="O97" i="5" s="1"/>
  <c r="J97" i="5"/>
  <c r="H98" i="5"/>
  <c r="I98" i="5"/>
  <c r="O167" i="5" l="1"/>
  <c r="N168" i="5"/>
  <c r="M168" i="5"/>
  <c r="H168" i="5"/>
  <c r="J167" i="5"/>
  <c r="E169" i="5"/>
  <c r="I169" i="5" s="1"/>
  <c r="M98" i="5"/>
  <c r="O98" i="5" s="1"/>
  <c r="J98" i="5"/>
  <c r="I99" i="5"/>
  <c r="H99" i="5"/>
  <c r="O168" i="5" l="1"/>
  <c r="H169" i="5"/>
  <c r="J168" i="5"/>
  <c r="N169" i="5"/>
  <c r="M169" i="5"/>
  <c r="E170" i="5"/>
  <c r="I170" i="5" s="1"/>
  <c r="M99" i="5"/>
  <c r="O99" i="5" s="1"/>
  <c r="J99" i="5"/>
  <c r="H100" i="5"/>
  <c r="I100" i="5"/>
  <c r="N170" i="5" l="1"/>
  <c r="M170" i="5"/>
  <c r="H170" i="5"/>
  <c r="O169" i="5"/>
  <c r="J169" i="5"/>
  <c r="E171" i="5"/>
  <c r="I171" i="5" s="1"/>
  <c r="M100" i="5"/>
  <c r="J100" i="5"/>
  <c r="H101" i="5"/>
  <c r="I101" i="5"/>
  <c r="O170" i="5" l="1"/>
  <c r="J170" i="5"/>
  <c r="H171" i="5"/>
  <c r="N171" i="5"/>
  <c r="M171" i="5"/>
  <c r="E172" i="5"/>
  <c r="I172" i="5" s="1"/>
  <c r="O100" i="5"/>
  <c r="M101" i="5"/>
  <c r="J101" i="5"/>
  <c r="I102" i="5"/>
  <c r="H102" i="5"/>
  <c r="O171" i="5" l="1"/>
  <c r="J171" i="5"/>
  <c r="N172" i="5"/>
  <c r="M172" i="5"/>
  <c r="H172" i="5"/>
  <c r="E173" i="5"/>
  <c r="I173" i="5" s="1"/>
  <c r="O101" i="5"/>
  <c r="M102" i="5"/>
  <c r="J102" i="5"/>
  <c r="H103" i="5"/>
  <c r="I103" i="5"/>
  <c r="O172" i="5" l="1"/>
  <c r="H173" i="5"/>
  <c r="J172" i="5"/>
  <c r="N173" i="5"/>
  <c r="M173" i="5"/>
  <c r="E175" i="5"/>
  <c r="E174" i="5"/>
  <c r="I174" i="5" s="1"/>
  <c r="M103" i="5"/>
  <c r="O102" i="5"/>
  <c r="J103" i="5"/>
  <c r="I104" i="5"/>
  <c r="H104" i="5"/>
  <c r="I175" i="5" l="1"/>
  <c r="F176" i="5" s="1"/>
  <c r="I176" i="5" s="1"/>
  <c r="J173" i="5"/>
  <c r="N174" i="5"/>
  <c r="M174" i="5"/>
  <c r="O173" i="5"/>
  <c r="H174" i="5"/>
  <c r="O103" i="5"/>
  <c r="M104" i="5"/>
  <c r="J104" i="5"/>
  <c r="H105" i="5"/>
  <c r="I105" i="5"/>
  <c r="E60" i="5" l="1"/>
  <c r="F106" i="5"/>
  <c r="J174" i="5"/>
  <c r="O174" i="5"/>
  <c r="E35" i="5"/>
  <c r="H175" i="5"/>
  <c r="N175" i="5"/>
  <c r="M175" i="5"/>
  <c r="O104" i="5"/>
  <c r="M105" i="5"/>
  <c r="J105" i="5"/>
  <c r="L60" i="5" l="1"/>
  <c r="K60" i="5"/>
  <c r="F35" i="5"/>
  <c r="I35" i="5" s="1"/>
  <c r="L176" i="5"/>
  <c r="F107" i="5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E58" i="5"/>
  <c r="J175" i="5"/>
  <c r="O175" i="5"/>
  <c r="O105" i="5"/>
  <c r="I58" i="5" l="1"/>
  <c r="C41" i="5" s="1"/>
  <c r="L58" i="5"/>
  <c r="B41" i="5" s="1"/>
  <c r="K58" i="5"/>
  <c r="H35" i="5"/>
  <c r="K35" i="5"/>
  <c r="L35" i="5"/>
  <c r="E61" i="5"/>
  <c r="F177" i="5"/>
  <c r="E33" i="5"/>
  <c r="L177" i="5"/>
  <c r="L178" i="5" s="1"/>
  <c r="L179" i="5" s="1"/>
  <c r="L180" i="5" s="1"/>
  <c r="L181" i="5" s="1"/>
  <c r="L182" i="5" s="1"/>
  <c r="L183" i="5" s="1"/>
  <c r="L184" i="5" s="1"/>
  <c r="L185" i="5" s="1"/>
  <c r="F33" i="5"/>
  <c r="M176" i="5"/>
  <c r="H176" i="5"/>
  <c r="N176" i="5"/>
  <c r="M106" i="5"/>
  <c r="N106" i="5"/>
  <c r="I33" i="5" l="1"/>
  <c r="C15" i="5" s="1"/>
  <c r="L61" i="5"/>
  <c r="G41" i="5" s="1"/>
  <c r="K61" i="5"/>
  <c r="L33" i="5"/>
  <c r="B15" i="5" s="1"/>
  <c r="K33" i="5"/>
  <c r="F178" i="5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I177" i="5"/>
  <c r="L186" i="5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H33" i="5"/>
  <c r="J176" i="5"/>
  <c r="M177" i="5"/>
  <c r="N177" i="5"/>
  <c r="O176" i="5"/>
  <c r="H177" i="5"/>
  <c r="N107" i="5"/>
  <c r="M107" i="5"/>
  <c r="O106" i="5"/>
  <c r="I178" i="5" l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F36" i="5"/>
  <c r="H58" i="5"/>
  <c r="E36" i="5"/>
  <c r="I61" i="5"/>
  <c r="H41" i="5" s="1"/>
  <c r="J177" i="5"/>
  <c r="N178" i="5"/>
  <c r="M178" i="5"/>
  <c r="O107" i="5"/>
  <c r="H178" i="5"/>
  <c r="O177" i="5"/>
  <c r="N108" i="5"/>
  <c r="M108" i="5"/>
  <c r="I36" i="5" l="1"/>
  <c r="H15" i="5" s="1"/>
  <c r="K36" i="5"/>
  <c r="L36" i="5"/>
  <c r="G15" i="5" s="1"/>
  <c r="H36" i="5"/>
  <c r="H61" i="5"/>
  <c r="O178" i="5"/>
  <c r="J178" i="5"/>
  <c r="H179" i="5"/>
  <c r="N179" i="5"/>
  <c r="M179" i="5"/>
  <c r="O108" i="5"/>
  <c r="N109" i="5"/>
  <c r="M109" i="5"/>
  <c r="O179" i="5" l="1"/>
  <c r="J179" i="5"/>
  <c r="N180" i="5"/>
  <c r="M180" i="5"/>
  <c r="H180" i="5"/>
  <c r="O109" i="5"/>
  <c r="N110" i="5"/>
  <c r="M110" i="5"/>
  <c r="O180" i="5" l="1"/>
  <c r="J180" i="5"/>
  <c r="H181" i="5"/>
  <c r="N181" i="5"/>
  <c r="M181" i="5"/>
  <c r="O110" i="5"/>
  <c r="N111" i="5"/>
  <c r="M111" i="5"/>
  <c r="O181" i="5" l="1"/>
  <c r="J181" i="5"/>
  <c r="N182" i="5"/>
  <c r="M182" i="5"/>
  <c r="H182" i="5"/>
  <c r="O111" i="5"/>
  <c r="N112" i="5"/>
  <c r="M112" i="5"/>
  <c r="J182" i="5" l="1"/>
  <c r="O182" i="5"/>
  <c r="H183" i="5"/>
  <c r="N183" i="5"/>
  <c r="M183" i="5"/>
  <c r="O112" i="5"/>
  <c r="N113" i="5"/>
  <c r="M113" i="5"/>
  <c r="J183" i="5" l="1"/>
  <c r="O183" i="5"/>
  <c r="N184" i="5"/>
  <c r="M184" i="5"/>
  <c r="H184" i="5"/>
  <c r="O113" i="5"/>
  <c r="N114" i="5"/>
  <c r="M114" i="5"/>
  <c r="I60" i="5" l="1"/>
  <c r="H60" i="5"/>
  <c r="O184" i="5"/>
  <c r="H185" i="5"/>
  <c r="J184" i="5"/>
  <c r="N185" i="5"/>
  <c r="M185" i="5"/>
  <c r="O114" i="5"/>
  <c r="N115" i="5"/>
  <c r="M115" i="5"/>
  <c r="J185" i="5" l="1"/>
  <c r="N186" i="5"/>
  <c r="M186" i="5"/>
  <c r="O185" i="5"/>
  <c r="H186" i="5"/>
  <c r="O115" i="5"/>
  <c r="N116" i="5"/>
  <c r="M116" i="5"/>
  <c r="O186" i="5" l="1"/>
  <c r="H187" i="5"/>
  <c r="J186" i="5"/>
  <c r="N187" i="5"/>
  <c r="M187" i="5"/>
  <c r="O116" i="5"/>
  <c r="N117" i="5"/>
  <c r="M117" i="5"/>
  <c r="N188" i="5" l="1"/>
  <c r="M188" i="5"/>
  <c r="H188" i="5"/>
  <c r="O187" i="5"/>
  <c r="J187" i="5"/>
  <c r="O117" i="5"/>
  <c r="N118" i="5"/>
  <c r="M118" i="5"/>
  <c r="O188" i="5" l="1"/>
  <c r="H189" i="5"/>
  <c r="J188" i="5"/>
  <c r="N189" i="5"/>
  <c r="M189" i="5"/>
  <c r="O118" i="5"/>
  <c r="N119" i="5"/>
  <c r="M119" i="5"/>
  <c r="J189" i="5" l="1"/>
  <c r="N190" i="5"/>
  <c r="M190" i="5"/>
  <c r="O189" i="5"/>
  <c r="H190" i="5"/>
  <c r="O119" i="5"/>
  <c r="N120" i="5"/>
  <c r="M120" i="5"/>
  <c r="O190" i="5" l="1"/>
  <c r="H191" i="5"/>
  <c r="J190" i="5"/>
  <c r="N191" i="5"/>
  <c r="M191" i="5"/>
  <c r="O120" i="5"/>
  <c r="N121" i="5"/>
  <c r="M121" i="5"/>
  <c r="J191" i="5" l="1"/>
  <c r="N192" i="5"/>
  <c r="M192" i="5"/>
  <c r="O191" i="5"/>
  <c r="H192" i="5"/>
  <c r="O121" i="5"/>
  <c r="N122" i="5"/>
  <c r="M122" i="5"/>
  <c r="J192" i="5" l="1"/>
  <c r="O192" i="5"/>
  <c r="H193" i="5"/>
  <c r="N193" i="5"/>
  <c r="M193" i="5"/>
  <c r="O122" i="5"/>
  <c r="N123" i="5"/>
  <c r="M123" i="5"/>
  <c r="O193" i="5" l="1"/>
  <c r="N194" i="5"/>
  <c r="M194" i="5"/>
  <c r="H194" i="5"/>
  <c r="J193" i="5"/>
  <c r="O123" i="5"/>
  <c r="N124" i="5"/>
  <c r="M124" i="5"/>
  <c r="O194" i="5" l="1"/>
  <c r="H195" i="5"/>
  <c r="J194" i="5"/>
  <c r="N195" i="5"/>
  <c r="M195" i="5"/>
  <c r="O124" i="5"/>
  <c r="N125" i="5"/>
  <c r="M125" i="5"/>
  <c r="J195" i="5" l="1"/>
  <c r="N196" i="5"/>
  <c r="M196" i="5"/>
  <c r="O195" i="5"/>
  <c r="H196" i="5"/>
  <c r="O125" i="5"/>
  <c r="N126" i="5"/>
  <c r="M126" i="5"/>
  <c r="O196" i="5" l="1"/>
  <c r="H197" i="5"/>
  <c r="J196" i="5"/>
  <c r="N197" i="5"/>
  <c r="M197" i="5"/>
  <c r="O126" i="5"/>
  <c r="N127" i="5"/>
  <c r="M127" i="5"/>
  <c r="N198" i="5" l="1"/>
  <c r="M198" i="5"/>
  <c r="H198" i="5"/>
  <c r="O197" i="5"/>
  <c r="J197" i="5"/>
  <c r="O127" i="5"/>
  <c r="N128" i="5"/>
  <c r="M128" i="5"/>
  <c r="O198" i="5" l="1"/>
  <c r="H199" i="5"/>
  <c r="J198" i="5"/>
  <c r="N199" i="5"/>
  <c r="M199" i="5"/>
  <c r="O128" i="5"/>
  <c r="N129" i="5"/>
  <c r="M129" i="5"/>
  <c r="J199" i="5" l="1"/>
  <c r="O199" i="5"/>
  <c r="N200" i="5"/>
  <c r="M200" i="5"/>
  <c r="H200" i="5"/>
  <c r="O129" i="5"/>
  <c r="N130" i="5"/>
  <c r="M130" i="5"/>
  <c r="O200" i="5" l="1"/>
  <c r="J200" i="5"/>
  <c r="O130" i="5"/>
  <c r="F59" i="5" l="1"/>
  <c r="F34" i="5" l="1"/>
  <c r="E34" i="5"/>
  <c r="K34" i="5" l="1"/>
  <c r="L34" i="5"/>
  <c r="K15" i="5" s="1"/>
  <c r="I34" i="5"/>
  <c r="L15" i="5" s="1"/>
  <c r="H34" i="5"/>
  <c r="H106" i="5"/>
  <c r="I106" i="5"/>
  <c r="J106" i="5" l="1"/>
  <c r="I107" i="5"/>
  <c r="H108" i="5" l="1"/>
  <c r="H107" i="5"/>
  <c r="J107" i="5" s="1"/>
  <c r="I108" i="5" l="1"/>
  <c r="I109" i="5" l="1"/>
  <c r="J108" i="5"/>
  <c r="H109" i="5" l="1"/>
  <c r="J109" i="5" s="1"/>
  <c r="H110" i="5"/>
  <c r="I110" i="5" l="1"/>
  <c r="I111" i="5" l="1"/>
  <c r="J110" i="5"/>
  <c r="H111" i="5" l="1"/>
  <c r="J111" i="5" s="1"/>
  <c r="I112" i="5"/>
  <c r="H113" i="5" l="1"/>
  <c r="H112" i="5"/>
  <c r="J112" i="5" s="1"/>
  <c r="I113" i="5" l="1"/>
  <c r="H114" i="5" l="1"/>
  <c r="J113" i="5"/>
  <c r="I114" i="5" l="1"/>
  <c r="I115" i="5" l="1"/>
  <c r="J114" i="5"/>
  <c r="I116" i="5" l="1"/>
  <c r="H115" i="5"/>
  <c r="J115" i="5" s="1"/>
  <c r="H117" i="5" l="1"/>
  <c r="H116" i="5"/>
  <c r="J116" i="5" s="1"/>
  <c r="I117" i="5" l="1"/>
  <c r="I118" i="5" l="1"/>
  <c r="J117" i="5"/>
  <c r="I119" i="5" l="1"/>
  <c r="H118" i="5"/>
  <c r="J118" i="5" s="1"/>
  <c r="H119" i="5" l="1"/>
  <c r="J119" i="5" s="1"/>
  <c r="I120" i="5"/>
  <c r="H120" i="5" l="1"/>
  <c r="J120" i="5" s="1"/>
  <c r="I121" i="5"/>
  <c r="H122" i="5" l="1"/>
  <c r="H121" i="5"/>
  <c r="J121" i="5" s="1"/>
  <c r="I122" i="5" l="1"/>
  <c r="I123" i="5" l="1"/>
  <c r="J122" i="5"/>
  <c r="I124" i="5" l="1"/>
  <c r="H123" i="5"/>
  <c r="J123" i="5" s="1"/>
  <c r="H124" i="5" l="1"/>
  <c r="J124" i="5" s="1"/>
  <c r="H125" i="5"/>
  <c r="I125" i="5" l="1"/>
  <c r="I126" i="5" l="1"/>
  <c r="J125" i="5"/>
  <c r="I127" i="5" l="1"/>
  <c r="H127" i="5"/>
  <c r="H126" i="5"/>
  <c r="J126" i="5" s="1"/>
  <c r="H128" i="5" l="1"/>
  <c r="I128" i="5"/>
  <c r="J127" i="5"/>
  <c r="J128" i="5" l="1"/>
  <c r="I129" i="5"/>
  <c r="H129" i="5" l="1"/>
  <c r="J129" i="5" s="1"/>
  <c r="I130" i="5"/>
  <c r="H130" i="5" l="1"/>
  <c r="J130" i="5" s="1"/>
  <c r="E59" i="5" l="1"/>
  <c r="L59" i="5" l="1"/>
  <c r="K41" i="5" s="1"/>
  <c r="K59" i="5"/>
  <c r="H59" i="5"/>
  <c r="I59" i="5"/>
  <c r="L41" i="5" s="1"/>
</calcChain>
</file>

<file path=xl/sharedStrings.xml><?xml version="1.0" encoding="utf-8"?>
<sst xmlns="http://schemas.openxmlformats.org/spreadsheetml/2006/main" count="77" uniqueCount="45">
  <si>
    <t>Income Growth Rate</t>
  </si>
  <si>
    <t>Age 25 - 44:</t>
  </si>
  <si>
    <t>Age 45 - 64:</t>
  </si>
  <si>
    <t>Age 65 - 90:</t>
  </si>
  <si>
    <t>Starting Income at Age 25:</t>
  </si>
  <si>
    <t>Income Growth Rate (%)</t>
  </si>
  <si>
    <t>Savings Rate (%)</t>
  </si>
  <si>
    <t>Benchmark Growth Rate (%)</t>
  </si>
  <si>
    <t>Inflation Rate (%)</t>
  </si>
  <si>
    <t>Age</t>
  </si>
  <si>
    <t>Income</t>
  </si>
  <si>
    <t>Income (Real)</t>
  </si>
  <si>
    <t>Annual Contribution</t>
  </si>
  <si>
    <t>Balance Before Fees (A)</t>
  </si>
  <si>
    <t>Balance After Fees (A)</t>
  </si>
  <si>
    <t>Annual Fees (A)</t>
  </si>
  <si>
    <t>Balance Before Fees (B)</t>
  </si>
  <si>
    <t>Balance After Fees (B)</t>
  </si>
  <si>
    <t>Annual Fees (B)</t>
  </si>
  <si>
    <t>Cont Compound Cost (A)</t>
  </si>
  <si>
    <t>Cont Compound Cost (B)</t>
  </si>
  <si>
    <t>Annual Withdrawal (A)</t>
  </si>
  <si>
    <t>Annual Withdrawal (B)</t>
  </si>
  <si>
    <t>REAL</t>
  </si>
  <si>
    <t>NOMINAL</t>
  </si>
  <si>
    <t>Scenario A</t>
  </si>
  <si>
    <t>Scenario B</t>
  </si>
  <si>
    <t>Annual Income in Retirement (Today's Dollars):</t>
  </si>
  <si>
    <t>Lifetime Costs (Today's Dollars):</t>
  </si>
  <si>
    <t>Portfolio Balance at 65 (Today's Dollars):</t>
  </si>
  <si>
    <t>Cumulative Retirement Income (Today's Dollars):</t>
  </si>
  <si>
    <t>Scenario B has…</t>
  </si>
  <si>
    <t>Annual Cost Scenario A (%)</t>
  </si>
  <si>
    <t>Annual Cost Scenario B (%)</t>
  </si>
  <si>
    <t>Input</t>
  </si>
  <si>
    <t>at age 25</t>
  </si>
  <si>
    <t>Starting Annual Income in Retirement:</t>
  </si>
  <si>
    <t>Lifetime Costs:</t>
  </si>
  <si>
    <t>Portfolio Balance at 65:</t>
  </si>
  <si>
    <t>Cumulative Retirement Income:</t>
  </si>
  <si>
    <t>Dead</t>
  </si>
  <si>
    <t>Inflation Adjusted Results</t>
  </si>
  <si>
    <t>Non Inflation Adjusted Results</t>
  </si>
  <si>
    <t xml:space="preserve">Copyright © Preet Banerjee 2014 
</t>
  </si>
  <si>
    <t>Special thanks to Michael James on Money for assistance with the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</si>
</sst>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10" fontId="0" fillId="0" borderId="0" xfId="2" applyNumberFormat="1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4" fillId="0" borderId="0" xfId="0" applyFont="1" applyAlignment="1">
      <alignment horizontal="center"/>
    </xf>
    <xf numFmtId="44" fontId="0" fillId="0" borderId="0" xfId="1" applyFont="1"/>
    <xf numFmtId="10" fontId="0" fillId="0" borderId="3" xfId="2" applyNumberFormat="1" applyFont="1" applyBorder="1"/>
    <xf numFmtId="10" fontId="0" fillId="0" borderId="0" xfId="2" applyNumberFormat="1" applyFont="1" applyBorder="1"/>
    <xf numFmtId="44" fontId="0" fillId="0" borderId="0" xfId="0" applyNumberFormat="1"/>
    <xf numFmtId="44" fontId="0" fillId="0" borderId="3" xfId="1" applyFont="1" applyBorder="1"/>
    <xf numFmtId="0" fontId="4" fillId="4" borderId="0" xfId="0" applyFont="1" applyFill="1" applyAlignment="1">
      <alignment horizontal="center"/>
    </xf>
    <xf numFmtId="44" fontId="0" fillId="4" borderId="0" xfId="1" applyFont="1" applyFill="1"/>
    <xf numFmtId="44" fontId="0" fillId="4" borderId="3" xfId="1" applyFont="1" applyFill="1" applyBorder="1"/>
    <xf numFmtId="10" fontId="0" fillId="4" borderId="0" xfId="2" applyNumberFormat="1" applyFont="1" applyFill="1"/>
    <xf numFmtId="10" fontId="0" fillId="4" borderId="3" xfId="2" applyNumberFormat="1" applyFont="1" applyFill="1" applyBorder="1"/>
    <xf numFmtId="10" fontId="0" fillId="4" borderId="0" xfId="2" applyNumberFormat="1" applyFont="1" applyFill="1" applyBorder="1"/>
    <xf numFmtId="44" fontId="0" fillId="0" borderId="4" xfId="1" applyFont="1" applyBorder="1"/>
    <xf numFmtId="44" fontId="0" fillId="0" borderId="0" xfId="1" applyFont="1" applyBorder="1"/>
    <xf numFmtId="8" fontId="0" fillId="0" borderId="3" xfId="1" applyNumberFormat="1" applyFont="1" applyBorder="1"/>
    <xf numFmtId="8" fontId="0" fillId="0" borderId="0" xfId="1" applyNumberFormat="1" applyFont="1" applyBorder="1"/>
    <xf numFmtId="8" fontId="0" fillId="4" borderId="3" xfId="0" applyNumberFormat="1" applyFill="1" applyBorder="1"/>
    <xf numFmtId="8" fontId="0" fillId="4" borderId="0" xfId="0" applyNumberFormat="1" applyFill="1"/>
    <xf numFmtId="0" fontId="0" fillId="0" borderId="0" xfId="0" applyFill="1"/>
    <xf numFmtId="8" fontId="0" fillId="0" borderId="0" xfId="1" applyNumberFormat="1" applyFont="1" applyFill="1" applyBorder="1"/>
    <xf numFmtId="10" fontId="0" fillId="0" borderId="0" xfId="2" applyNumberFormat="1" applyFont="1" applyFill="1" applyBorder="1"/>
    <xf numFmtId="44" fontId="0" fillId="0" borderId="0" xfId="1" applyFont="1" applyFill="1" applyBorder="1"/>
    <xf numFmtId="44" fontId="0" fillId="0" borderId="0" xfId="1" applyFont="1" applyFill="1"/>
    <xf numFmtId="8" fontId="0" fillId="0" borderId="0" xfId="0" applyNumberFormat="1" applyFill="1"/>
    <xf numFmtId="44" fontId="0" fillId="4" borderId="4" xfId="1" applyFont="1" applyFill="1" applyBorder="1"/>
    <xf numFmtId="44" fontId="0" fillId="4" borderId="0" xfId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Fill="1"/>
    <xf numFmtId="165" fontId="0" fillId="0" borderId="0" xfId="0" applyNumberFormat="1"/>
    <xf numFmtId="0" fontId="0" fillId="0" borderId="0" xfId="0" applyBorder="1"/>
    <xf numFmtId="0" fontId="4" fillId="3" borderId="0" xfId="0" applyFont="1" applyFill="1" applyBorder="1"/>
    <xf numFmtId="9" fontId="7" fillId="3" borderId="0" xfId="0" applyNumberFormat="1" applyFont="1" applyFill="1" applyBorder="1"/>
    <xf numFmtId="0" fontId="4" fillId="3" borderId="0" xfId="0" applyFont="1" applyFill="1" applyBorder="1" applyAlignment="1">
      <alignment horizontal="right" vertical="center"/>
    </xf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8" xfId="0" applyBorder="1"/>
    <xf numFmtId="0" fontId="0" fillId="3" borderId="0" xfId="0" applyFill="1" applyBorder="1"/>
    <xf numFmtId="0" fontId="0" fillId="3" borderId="9" xfId="0" applyFill="1" applyBorder="1"/>
    <xf numFmtId="9" fontId="7" fillId="3" borderId="8" xfId="0" applyNumberFormat="1" applyFont="1" applyFill="1" applyBorder="1"/>
    <xf numFmtId="0" fontId="0" fillId="3" borderId="8" xfId="0" applyFill="1" applyBorder="1"/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44" fontId="2" fillId="3" borderId="0" xfId="0" applyNumberFormat="1" applyFont="1" applyFill="1" applyBorder="1"/>
    <xf numFmtId="0" fontId="0" fillId="3" borderId="0" xfId="0" applyFill="1" applyBorder="1" applyAlignment="1"/>
    <xf numFmtId="0" fontId="3" fillId="3" borderId="0" xfId="0" applyFont="1" applyFill="1" applyBorder="1" applyAlignment="1">
      <alignment horizontal="right"/>
    </xf>
    <xf numFmtId="9" fontId="3" fillId="3" borderId="0" xfId="2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right"/>
    </xf>
    <xf numFmtId="0" fontId="0" fillId="3" borderId="10" xfId="0" applyFill="1" applyBorder="1"/>
    <xf numFmtId="0" fontId="0" fillId="3" borderId="11" xfId="0" applyFill="1" applyBorder="1"/>
    <xf numFmtId="0" fontId="0" fillId="3" borderId="11" xfId="0" applyFill="1" applyBorder="1" applyAlignment="1">
      <alignment horizontal="right"/>
    </xf>
    <xf numFmtId="164" fontId="1" fillId="3" borderId="11" xfId="1" applyNumberFormat="1" applyFont="1" applyFill="1" applyBorder="1" applyAlignment="1">
      <alignment horizontal="right"/>
    </xf>
    <xf numFmtId="44" fontId="2" fillId="3" borderId="11" xfId="0" applyNumberFormat="1" applyFont="1" applyFill="1" applyBorder="1"/>
    <xf numFmtId="0" fontId="0" fillId="3" borderId="11" xfId="0" applyFill="1" applyBorder="1" applyAlignment="1"/>
    <xf numFmtId="0" fontId="3" fillId="3" borderId="11" xfId="0" applyFont="1" applyFill="1" applyBorder="1" applyAlignment="1">
      <alignment horizontal="right"/>
    </xf>
    <xf numFmtId="9" fontId="3" fillId="3" borderId="11" xfId="2" applyFont="1" applyFill="1" applyBorder="1" applyAlignment="1">
      <alignment horizontal="left"/>
    </xf>
    <xf numFmtId="0" fontId="0" fillId="3" borderId="12" xfId="0" applyFill="1" applyBorder="1"/>
    <xf numFmtId="0" fontId="8" fillId="3" borderId="0" xfId="0" applyFont="1" applyFill="1" applyBorder="1"/>
    <xf numFmtId="0" fontId="0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/>
    </xf>
    <xf numFmtId="44" fontId="0" fillId="3" borderId="0" xfId="1" applyFont="1" applyFill="1" applyBorder="1"/>
    <xf numFmtId="0" fontId="4" fillId="3" borderId="0" xfId="0" applyFont="1" applyFill="1" applyBorder="1" applyAlignment="1">
      <alignment horizontal="right"/>
    </xf>
    <xf numFmtId="0" fontId="0" fillId="3" borderId="8" xfId="0" applyFont="1" applyFill="1" applyBorder="1"/>
    <xf numFmtId="0" fontId="8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4" fillId="3" borderId="11" xfId="0" applyFont="1" applyFill="1" applyBorder="1" applyAlignment="1">
      <alignment horizontal="right"/>
    </xf>
    <xf numFmtId="44" fontId="0" fillId="3" borderId="11" xfId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4" fillId="3" borderId="0" xfId="0" applyFont="1" applyFill="1" applyAlignment="1">
      <alignment horizontal="center"/>
    </xf>
    <xf numFmtId="0" fontId="0" fillId="3" borderId="3" xfId="0" applyFill="1" applyBorder="1"/>
    <xf numFmtId="0" fontId="0" fillId="5" borderId="0" xfId="0" applyFill="1" applyBorder="1"/>
    <xf numFmtId="0" fontId="0" fillId="7" borderId="0" xfId="0" applyFill="1" applyBorder="1"/>
    <xf numFmtId="0" fontId="0" fillId="5" borderId="11" xfId="0" applyFill="1" applyBorder="1"/>
    <xf numFmtId="0" fontId="0" fillId="7" borderId="11" xfId="0" applyFill="1" applyBorder="1"/>
    <xf numFmtId="0" fontId="0" fillId="3" borderId="8" xfId="0" applyFill="1" applyBorder="1" applyAlignment="1">
      <alignment horizontal="right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10" fontId="0" fillId="6" borderId="1" xfId="2" applyNumberFormat="1" applyFont="1" applyFill="1" applyBorder="1" applyAlignment="1" applyProtection="1">
      <alignment horizontal="center"/>
      <protection locked="0"/>
    </xf>
    <xf numFmtId="44" fontId="0" fillId="6" borderId="2" xfId="1" applyFont="1" applyFill="1" applyBorder="1" applyProtection="1">
      <protection locked="0"/>
    </xf>
    <xf numFmtId="0" fontId="0" fillId="0" borderId="5" xfId="0" applyBorder="1"/>
    <xf numFmtId="0" fontId="10" fillId="3" borderId="13" xfId="0" applyFont="1" applyFill="1" applyBorder="1" applyAlignment="1">
      <alignment vertical="top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right"/>
    </xf>
    <xf numFmtId="0" fontId="12" fillId="0" borderId="0" xfId="0" applyFont="1"/>
    <xf numFmtId="0" fontId="4" fillId="2" borderId="0" xfId="0" applyFont="1" applyFill="1" applyAlignment="1">
      <alignment horizontal="center"/>
    </xf>
    <xf numFmtId="10" fontId="0" fillId="0" borderId="0" xfId="2" applyNumberFormat="1" applyFont="1" applyFill="1"/>
    <xf numFmtId="0" fontId="13" fillId="3" borderId="0" xfId="3" applyFont="1" applyFill="1" applyBorder="1" applyProtection="1"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83791913651243"/>
          <c:y val="5.0783385640679149E-2"/>
          <c:w val="0.81316582618183952"/>
          <c:h val="0.83462931175442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Sheet1!$D$33</c:f>
              <c:strCache>
                <c:ptCount val="1"/>
                <c:pt idx="0">
                  <c:v>Annual Income in Retirement (Today's Dollars):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Sheet1!$E$32:$F$32</c:f>
              <c:strCache>
                <c:ptCount val="2"/>
                <c:pt idx="0">
                  <c:v>Scenario A</c:v>
                </c:pt>
                <c:pt idx="1">
                  <c:v>Scenario B</c:v>
                </c:pt>
              </c:strCache>
            </c:strRef>
          </c:cat>
          <c:val>
            <c:numRef>
              <c:f>Sheet1!$E$33:$F$33</c:f>
              <c:numCache>
                <c:formatCode>"$"#,##0.00</c:formatCode>
                <c:ptCount val="2"/>
                <c:pt idx="0">
                  <c:v>10244.000783751022</c:v>
                </c:pt>
                <c:pt idx="1">
                  <c:v>14443.637143317485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994568"/>
        <c:axId val="446992216"/>
      </c:barChart>
      <c:catAx>
        <c:axId val="446994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992216"/>
        <c:crosses val="autoZero"/>
        <c:auto val="1"/>
        <c:lblAlgn val="ctr"/>
        <c:lblOffset val="100"/>
        <c:noMultiLvlLbl val="0"/>
      </c:catAx>
      <c:valAx>
        <c:axId val="446992216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crossAx val="446994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69614735658042"/>
          <c:y val="5.0783385640679149E-2"/>
          <c:w val="0.79635147169103859"/>
          <c:h val="0.83462931175442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Sheet1!$D$34</c:f>
              <c:strCache>
                <c:ptCount val="1"/>
                <c:pt idx="0">
                  <c:v>Lifetime Costs (Today's Dollars):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Sheet1!$E$32:$F$32</c:f>
              <c:strCache>
                <c:ptCount val="2"/>
                <c:pt idx="0">
                  <c:v>Scenario A</c:v>
                </c:pt>
                <c:pt idx="1">
                  <c:v>Scenario B</c:v>
                </c:pt>
              </c:strCache>
            </c:strRef>
          </c:cat>
          <c:val>
            <c:numRef>
              <c:f>Sheet1!$E$34:$F$34</c:f>
              <c:numCache>
                <c:formatCode>"$"#,##0.00</c:formatCode>
                <c:ptCount val="2"/>
                <c:pt idx="0">
                  <c:v>192508.20544091045</c:v>
                </c:pt>
                <c:pt idx="1">
                  <c:v>130237.25204718611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990648"/>
        <c:axId val="446987904"/>
      </c:barChart>
      <c:catAx>
        <c:axId val="44699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987904"/>
        <c:crosses val="autoZero"/>
        <c:auto val="1"/>
        <c:lblAlgn val="ctr"/>
        <c:lblOffset val="100"/>
        <c:noMultiLvlLbl val="0"/>
      </c:catAx>
      <c:valAx>
        <c:axId val="446987904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crossAx val="44699064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8470011117606"/>
          <c:y val="5.0437350009139403E-2"/>
          <c:w val="0.79624179073685653"/>
          <c:h val="0.8357561399448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Sheet1!$D$36</c:f>
              <c:strCache>
                <c:ptCount val="1"/>
                <c:pt idx="0">
                  <c:v>Cumulative Retirement Income (Today's Dollars):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Sheet1!$E$32:$F$32</c:f>
              <c:strCache>
                <c:ptCount val="2"/>
                <c:pt idx="0">
                  <c:v>Scenario A</c:v>
                </c:pt>
                <c:pt idx="1">
                  <c:v>Scenario B</c:v>
                </c:pt>
              </c:strCache>
            </c:strRef>
          </c:cat>
          <c:val>
            <c:numRef>
              <c:f>Sheet1!$E$36:$F$36</c:f>
              <c:numCache>
                <c:formatCode>"$"#,##0.00</c:formatCode>
                <c:ptCount val="2"/>
                <c:pt idx="0">
                  <c:v>256100.01959377553</c:v>
                </c:pt>
                <c:pt idx="1">
                  <c:v>361090.92858293722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992608"/>
        <c:axId val="446988688"/>
      </c:barChart>
      <c:catAx>
        <c:axId val="44699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988688"/>
        <c:crosses val="autoZero"/>
        <c:auto val="1"/>
        <c:lblAlgn val="ctr"/>
        <c:lblOffset val="100"/>
        <c:noMultiLvlLbl val="0"/>
      </c:catAx>
      <c:valAx>
        <c:axId val="44698868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crossAx val="44699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8862642169728"/>
          <c:y val="5.1400554097404488E-2"/>
          <c:w val="0.8114558180227471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Sheet1!$D$58</c:f>
              <c:strCache>
                <c:ptCount val="1"/>
                <c:pt idx="0">
                  <c:v>Starting Annual Income in Retirement: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Sheet1!$E$57:$F$57</c:f>
              <c:strCache>
                <c:ptCount val="2"/>
                <c:pt idx="0">
                  <c:v>Scenario A</c:v>
                </c:pt>
                <c:pt idx="1">
                  <c:v>Scenario B</c:v>
                </c:pt>
              </c:strCache>
            </c:strRef>
          </c:cat>
          <c:val>
            <c:numRef>
              <c:f>Sheet1!$E$58:$F$58</c:f>
              <c:numCache>
                <c:formatCode>_("$"* #,##0.00_);_("$"* \(#,##0.00\);_("$"* "-"??_);_(@_)</c:formatCode>
                <c:ptCount val="2"/>
                <c:pt idx="0">
                  <c:v>18407.358873999867</c:v>
                </c:pt>
                <c:pt idx="1">
                  <c:v>25978.254690854694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989864"/>
        <c:axId val="446993392"/>
      </c:barChart>
      <c:catAx>
        <c:axId val="446989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993392"/>
        <c:crosses val="autoZero"/>
        <c:auto val="1"/>
        <c:lblAlgn val="ctr"/>
        <c:lblOffset val="100"/>
        <c:noMultiLvlLbl val="0"/>
      </c:catAx>
      <c:valAx>
        <c:axId val="44699339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46989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08595800524935"/>
          <c:y val="5.1400554097404488E-2"/>
          <c:w val="0.7791362642169729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Sheet1!$D$61</c:f>
              <c:strCache>
                <c:ptCount val="1"/>
                <c:pt idx="0">
                  <c:v>Cumulative Retirement Income: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Sheet1!$E$57:$F$57</c:f>
              <c:strCache>
                <c:ptCount val="2"/>
                <c:pt idx="0">
                  <c:v>Scenario A</c:v>
                </c:pt>
                <c:pt idx="1">
                  <c:v>Scenario B</c:v>
                </c:pt>
              </c:strCache>
            </c:strRef>
          </c:cat>
          <c:val>
            <c:numRef>
              <c:f>Sheet1!$E$61:$F$61</c:f>
              <c:numCache>
                <c:formatCode>_("$"* #,##0.00_);_("$"* \(#,##0.00\);_("$"* "-"??_);_(@_)</c:formatCode>
                <c:ptCount val="2"/>
                <c:pt idx="0">
                  <c:v>671118.76265352406</c:v>
                </c:pt>
                <c:pt idx="1">
                  <c:v>947148.05439309811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6075856"/>
        <c:axId val="426077424"/>
      </c:barChart>
      <c:catAx>
        <c:axId val="42607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077424"/>
        <c:crosses val="autoZero"/>
        <c:auto val="1"/>
        <c:lblAlgn val="ctr"/>
        <c:lblOffset val="100"/>
        <c:noMultiLvlLbl val="0"/>
      </c:catAx>
      <c:valAx>
        <c:axId val="426077424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607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6403058313363"/>
          <c:y val="5.1400554097404488E-2"/>
          <c:w val="0.7885625927193883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Sheet1!$D$59</c:f>
              <c:strCache>
                <c:ptCount val="1"/>
                <c:pt idx="0">
                  <c:v>Lifetime Costs: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Sheet1!$E$57:$F$57</c:f>
              <c:strCache>
                <c:ptCount val="2"/>
                <c:pt idx="0">
                  <c:v>Scenario A</c:v>
                </c:pt>
                <c:pt idx="1">
                  <c:v>Scenario B</c:v>
                </c:pt>
              </c:strCache>
            </c:strRef>
          </c:cat>
          <c:val>
            <c:numRef>
              <c:f>Sheet1!$E$59:$F$59</c:f>
              <c:numCache>
                <c:formatCode>_("$"* #,##0.00_);_("$"* \(#,##0.00\);_("$"* "-"??_);_(@_)</c:formatCode>
                <c:ptCount val="2"/>
                <c:pt idx="0">
                  <c:v>350798.26135235775</c:v>
                </c:pt>
                <c:pt idx="1">
                  <c:v>241856.48185882383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6073504"/>
        <c:axId val="426076248"/>
      </c:barChart>
      <c:catAx>
        <c:axId val="42607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076248"/>
        <c:crosses val="autoZero"/>
        <c:auto val="1"/>
        <c:lblAlgn val="ctr"/>
        <c:lblOffset val="100"/>
        <c:noMultiLvlLbl val="0"/>
      </c:catAx>
      <c:valAx>
        <c:axId val="42607624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6073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15</xdr:row>
      <xdr:rowOff>42862</xdr:rowOff>
    </xdr:from>
    <xdr:to>
      <xdr:col>5</xdr:col>
      <xdr:colOff>352424</xdr:colOff>
      <xdr:row>29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15</xdr:row>
      <xdr:rowOff>61912</xdr:rowOff>
    </xdr:from>
    <xdr:to>
      <xdr:col>13</xdr:col>
      <xdr:colOff>885826</xdr:colOff>
      <xdr:row>29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838200</xdr:colOff>
      <xdr:row>15</xdr:row>
      <xdr:rowOff>38100</xdr:rowOff>
    </xdr:from>
    <xdr:to>
      <xdr:col>9</xdr:col>
      <xdr:colOff>447675</xdr:colOff>
      <xdr:row>29</xdr:row>
      <xdr:rowOff>166687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41</xdr:row>
      <xdr:rowOff>4762</xdr:rowOff>
    </xdr:from>
    <xdr:to>
      <xdr:col>5</xdr:col>
      <xdr:colOff>666750</xdr:colOff>
      <xdr:row>55</xdr:row>
      <xdr:rowOff>80962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847725</xdr:colOff>
      <xdr:row>41</xdr:row>
      <xdr:rowOff>14287</xdr:rowOff>
    </xdr:from>
    <xdr:to>
      <xdr:col>9</xdr:col>
      <xdr:colOff>666750</xdr:colOff>
      <xdr:row>55</xdr:row>
      <xdr:rowOff>90487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962025</xdr:colOff>
      <xdr:row>41</xdr:row>
      <xdr:rowOff>4762</xdr:rowOff>
    </xdr:from>
    <xdr:to>
      <xdr:col>13</xdr:col>
      <xdr:colOff>923925</xdr:colOff>
      <xdr:row>55</xdr:row>
      <xdr:rowOff>80962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47625</xdr:colOff>
      <xdr:row>2</xdr:row>
      <xdr:rowOff>47625</xdr:rowOff>
    </xdr:from>
    <xdr:to>
      <xdr:col>13</xdr:col>
      <xdr:colOff>1352550</xdr:colOff>
      <xdr:row>4</xdr:row>
      <xdr:rowOff>133350</xdr:rowOff>
    </xdr:to>
    <xdr:sp macro="" textlink="">
      <xdr:nvSpPr>
        <xdr:cNvPr id="15" name="TextBox 14"/>
        <xdr:cNvSpPr txBox="1"/>
      </xdr:nvSpPr>
      <xdr:spPr>
        <a:xfrm>
          <a:off x="3105150" y="400050"/>
          <a:ext cx="1154430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 and Notes:</a:t>
          </a:r>
          <a:r>
            <a:rPr lang="en-US" sz="1100"/>
            <a:t/>
          </a:r>
          <a:br>
            <a:rPr lang="en-US" sz="1100"/>
          </a:br>
          <a:r>
            <a:rPr lang="en-US" sz="800"/>
            <a:t/>
          </a:r>
          <a:br>
            <a:rPr lang="en-US" sz="800"/>
          </a:br>
          <a:r>
            <a:rPr lang="en-US" sz="800"/>
            <a:t>This</a:t>
          </a:r>
          <a:r>
            <a:rPr lang="en-US" sz="800" baseline="0"/>
            <a:t> demonstrative calculator assumes a starting saving age of 25, retirement date of 65, and death on the 90th birthday. It has three phases for adjusting variables over time: 1. Early savings phase (25-44), 2. Late savings phase (45-64), 3. Retirement phase (65-89).</a:t>
          </a:r>
          <a:br>
            <a:rPr lang="en-US" sz="800" baseline="0"/>
          </a:br>
          <a:r>
            <a:rPr lang="en-US" sz="800" baseline="0"/>
            <a:t/>
          </a:r>
          <a:br>
            <a:rPr lang="en-US" sz="800" baseline="0"/>
          </a:br>
          <a:r>
            <a:rPr lang="en-US" sz="800"/>
            <a:t>Yellow</a:t>
          </a:r>
          <a:r>
            <a:rPr lang="en-US" sz="800" baseline="0"/>
            <a:t> cells are the inputs. All variables apply to both scenarios, except the Annual Costs. Therefore, all differences between scenarios A and B are as a result of costs. </a:t>
          </a:r>
          <a:br>
            <a:rPr lang="en-US" sz="800" baseline="0"/>
          </a:br>
          <a:r>
            <a:rPr lang="en-US" sz="800" baseline="0"/>
            <a:t>If you scroll down further, you can see the nominal results, and further down you will see the worksheets for all calculations (both nominal and real).</a:t>
          </a:r>
        </a:p>
        <a:p>
          <a:endParaRPr lang="en-US" sz="800" baseline="0"/>
        </a:p>
        <a:p>
          <a:r>
            <a:rPr lang="en-US" sz="800" baseline="0"/>
            <a:t>This spreadsheet is for illustrative purposes only. Consult with a professional adviser whenever making financial decisions. The sheet is protected, but there is no password. And remember, never drink and derive. 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witter.com/mjonmoney" TargetMode="External"/><Relationship Id="rId1" Type="http://schemas.openxmlformats.org/officeDocument/2006/relationships/hyperlink" Target="http://www.twitter.com/preetbanerje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tabSelected="1" workbookViewId="0">
      <selection activeCell="C5" sqref="C5"/>
    </sheetView>
  </sheetViews>
  <sheetFormatPr defaultRowHeight="15" x14ac:dyDescent="0.25"/>
  <cols>
    <col min="1" max="1" width="1.140625" style="3" customWidth="1"/>
    <col min="2" max="2" width="14.5703125" customWidth="1"/>
    <col min="3" max="3" width="14.42578125" customWidth="1"/>
    <col min="4" max="4" width="15.7109375" customWidth="1"/>
    <col min="5" max="5" width="14.85546875" customWidth="1"/>
    <col min="6" max="6" width="16.7109375" customWidth="1"/>
    <col min="7" max="7" width="10.5703125" customWidth="1"/>
    <col min="8" max="8" width="21.85546875" customWidth="1"/>
    <col min="9" max="9" width="23" customWidth="1"/>
    <col min="10" max="10" width="15.5703125" customWidth="1"/>
    <col min="11" max="11" width="18.28515625" customWidth="1"/>
    <col min="12" max="12" width="14.42578125" customWidth="1"/>
    <col min="13" max="13" width="18.28515625" customWidth="1"/>
    <col min="14" max="14" width="20.7109375" bestFit="1" customWidth="1"/>
    <col min="15" max="15" width="21.42578125" customWidth="1"/>
    <col min="18" max="19" width="15.28515625" bestFit="1" customWidth="1"/>
  </cols>
  <sheetData>
    <row r="1" spans="2:30" s="3" customFormat="1" ht="12.75" customHeight="1" thickBot="1" x14ac:dyDescent="0.3">
      <c r="D1" s="61"/>
    </row>
    <row r="2" spans="2:30" x14ac:dyDescent="0.25">
      <c r="B2" s="96"/>
      <c r="C2" s="45"/>
      <c r="D2" s="46"/>
      <c r="E2" s="48"/>
      <c r="F2" s="98"/>
      <c r="G2" s="99" t="s">
        <v>43</v>
      </c>
      <c r="H2" s="103" t="str">
        <f>"@preetbanerjee"</f>
        <v>@preetbanerjee</v>
      </c>
      <c r="I2" s="100"/>
      <c r="J2" s="98"/>
      <c r="K2" s="99" t="s">
        <v>44</v>
      </c>
      <c r="L2" s="103" t="str">
        <f>"@MJonMoney"</f>
        <v>@MJonMoney</v>
      </c>
      <c r="M2" s="48"/>
      <c r="N2" s="4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x14ac:dyDescent="0.25">
      <c r="B3" s="51"/>
      <c r="C3" s="48"/>
      <c r="D3" s="48"/>
      <c r="E3" s="51"/>
      <c r="F3" s="48"/>
      <c r="G3" s="48"/>
      <c r="H3" s="48"/>
      <c r="I3" s="48"/>
      <c r="J3" s="48"/>
      <c r="K3" s="48"/>
      <c r="L3" s="48"/>
      <c r="M3" s="48"/>
      <c r="N3" s="48"/>
      <c r="O3" s="4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73.5" customHeight="1" x14ac:dyDescent="0.25">
      <c r="B4" s="51"/>
      <c r="C4" s="97" t="s">
        <v>34</v>
      </c>
      <c r="D4" s="3"/>
      <c r="E4" s="51"/>
      <c r="F4" s="48"/>
      <c r="G4" s="48"/>
      <c r="H4" s="48"/>
      <c r="I4" s="48"/>
      <c r="J4" s="48"/>
      <c r="K4" s="48"/>
      <c r="L4" s="48"/>
      <c r="M4" s="48"/>
      <c r="N4" s="4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5" customHeight="1" thickBot="1" x14ac:dyDescent="0.3">
      <c r="B5" s="51" t="s">
        <v>4</v>
      </c>
      <c r="C5" s="95">
        <v>25000</v>
      </c>
      <c r="D5" s="48" t="s">
        <v>35</v>
      </c>
      <c r="E5" s="60"/>
      <c r="F5" s="61"/>
      <c r="G5" s="61"/>
      <c r="H5" s="61"/>
      <c r="I5" s="61"/>
      <c r="J5" s="61"/>
      <c r="K5" s="61"/>
      <c r="L5" s="61"/>
      <c r="M5" s="61"/>
      <c r="N5" s="6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47.25" customHeight="1" x14ac:dyDescent="0.25">
      <c r="B6" s="51"/>
      <c r="C6" s="90" t="s">
        <v>5</v>
      </c>
      <c r="D6" s="41"/>
      <c r="E6" s="90" t="s">
        <v>6</v>
      </c>
      <c r="F6" s="41"/>
      <c r="G6" s="90" t="s">
        <v>7</v>
      </c>
      <c r="H6" s="41"/>
      <c r="I6" s="91" t="s">
        <v>8</v>
      </c>
      <c r="J6" s="41"/>
      <c r="K6" s="92" t="s">
        <v>32</v>
      </c>
      <c r="L6" s="41"/>
      <c r="M6" s="93" t="s">
        <v>33</v>
      </c>
      <c r="N6" s="4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 x14ac:dyDescent="0.25">
      <c r="B7" s="51"/>
      <c r="C7" s="48"/>
      <c r="D7" s="48"/>
      <c r="E7" s="48"/>
      <c r="F7" s="48"/>
      <c r="G7" s="48"/>
      <c r="H7" s="48"/>
      <c r="I7" s="48"/>
      <c r="J7" s="48"/>
      <c r="K7" s="85"/>
      <c r="L7" s="48"/>
      <c r="M7" s="86"/>
      <c r="N7" s="4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 x14ac:dyDescent="0.25">
      <c r="B8" s="89" t="s">
        <v>1</v>
      </c>
      <c r="C8" s="94">
        <v>0.05</v>
      </c>
      <c r="D8" s="53" t="s">
        <v>1</v>
      </c>
      <c r="E8" s="94">
        <v>0.1</v>
      </c>
      <c r="F8" s="53" t="s">
        <v>1</v>
      </c>
      <c r="G8" s="94">
        <v>0.08</v>
      </c>
      <c r="H8" s="53" t="s">
        <v>1</v>
      </c>
      <c r="I8" s="94">
        <v>0.01</v>
      </c>
      <c r="J8" s="53" t="s">
        <v>1</v>
      </c>
      <c r="K8" s="94">
        <v>2.2499999999999999E-2</v>
      </c>
      <c r="L8" s="53" t="s">
        <v>1</v>
      </c>
      <c r="M8" s="94">
        <v>1.2500000000000001E-2</v>
      </c>
      <c r="N8" s="4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x14ac:dyDescent="0.25">
      <c r="B9" s="89" t="s">
        <v>2</v>
      </c>
      <c r="C9" s="94">
        <v>0.03</v>
      </c>
      <c r="D9" s="53" t="s">
        <v>2</v>
      </c>
      <c r="E9" s="94">
        <v>0.1</v>
      </c>
      <c r="F9" s="53" t="s">
        <v>2</v>
      </c>
      <c r="G9" s="94">
        <v>0.06</v>
      </c>
      <c r="H9" s="53" t="s">
        <v>2</v>
      </c>
      <c r="I9" s="94">
        <v>0.02</v>
      </c>
      <c r="J9" s="53" t="s">
        <v>2</v>
      </c>
      <c r="K9" s="94">
        <v>2.2499999999999999E-2</v>
      </c>
      <c r="L9" s="53" t="s">
        <v>2</v>
      </c>
      <c r="M9" s="94">
        <v>1.2500000000000001E-2</v>
      </c>
      <c r="N9" s="4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x14ac:dyDescent="0.25">
      <c r="B10" s="89" t="s">
        <v>3</v>
      </c>
      <c r="C10" s="48"/>
      <c r="D10" s="53" t="s">
        <v>3</v>
      </c>
      <c r="E10" s="48"/>
      <c r="F10" s="53" t="s">
        <v>3</v>
      </c>
      <c r="G10" s="94">
        <v>0.04</v>
      </c>
      <c r="H10" s="53" t="s">
        <v>3</v>
      </c>
      <c r="I10" s="94">
        <v>0.03</v>
      </c>
      <c r="J10" s="53" t="s">
        <v>3</v>
      </c>
      <c r="K10" s="94">
        <v>2.2499999999999999E-2</v>
      </c>
      <c r="L10" s="53" t="s">
        <v>3</v>
      </c>
      <c r="M10" s="94">
        <v>1.2500000000000001E-2</v>
      </c>
      <c r="N10" s="4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 thickBot="1" x14ac:dyDescent="0.3">
      <c r="B11" s="60"/>
      <c r="C11" s="61"/>
      <c r="D11" s="61"/>
      <c r="E11" s="61"/>
      <c r="F11" s="61"/>
      <c r="G11" s="61"/>
      <c r="H11" s="61"/>
      <c r="I11" s="61"/>
      <c r="J11" s="61"/>
      <c r="K11" s="87"/>
      <c r="L11" s="61"/>
      <c r="M11" s="88"/>
      <c r="N11" s="6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31.5" x14ac:dyDescent="0.5">
      <c r="B13" s="44" t="s">
        <v>41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3.75" customHeight="1" x14ac:dyDescent="0.25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26.25" x14ac:dyDescent="0.4">
      <c r="B15" s="50">
        <f>L33</f>
        <v>0.40996056601517472</v>
      </c>
      <c r="C15" s="41" t="str">
        <f>I33</f>
        <v>MORE retirement income per year than Scenario A</v>
      </c>
      <c r="D15" s="40"/>
      <c r="E15" s="48"/>
      <c r="F15" s="48"/>
      <c r="G15" s="42">
        <f>L36</f>
        <v>0.40996056601517522</v>
      </c>
      <c r="H15" s="41" t="str">
        <f>I36</f>
        <v>MORE overall retirement income than Scenario A</v>
      </c>
      <c r="I15" s="40"/>
      <c r="J15" s="48"/>
      <c r="K15" s="42">
        <f>L34</f>
        <v>0.32347168397888443</v>
      </c>
      <c r="L15" s="41" t="str">
        <f>I34</f>
        <v>LOWER lifetime fees than Scenario A</v>
      </c>
      <c r="M15" s="48"/>
      <c r="N15" s="4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x14ac:dyDescent="0.25"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x14ac:dyDescent="0.25">
      <c r="B17" s="5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x14ac:dyDescent="0.25">
      <c r="B18" s="5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x14ac:dyDescent="0.25">
      <c r="B19" s="5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x14ac:dyDescent="0.25">
      <c r="B20" s="5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x14ac:dyDescent="0.25">
      <c r="B21" s="5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x14ac:dyDescent="0.25">
      <c r="B22" s="51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5">
      <c r="B23" s="5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5">
      <c r="B24" s="5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x14ac:dyDescent="0.25">
      <c r="B25" s="5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x14ac:dyDescent="0.25">
      <c r="B26" s="5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x14ac:dyDescent="0.25">
      <c r="B27" s="5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x14ac:dyDescent="0.25">
      <c r="B28" s="5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x14ac:dyDescent="0.25">
      <c r="B29" s="5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x14ac:dyDescent="0.25">
      <c r="B30" s="5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x14ac:dyDescent="0.25">
      <c r="B31" s="5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0" ht="21" x14ac:dyDescent="0.35">
      <c r="B32" s="51"/>
      <c r="C32" s="48"/>
      <c r="D32" s="48"/>
      <c r="E32" s="43" t="s">
        <v>25</v>
      </c>
      <c r="F32" s="43" t="s">
        <v>26</v>
      </c>
      <c r="G32" s="48"/>
      <c r="H32" s="52" t="s">
        <v>31</v>
      </c>
      <c r="I32" s="48"/>
      <c r="J32" s="48"/>
      <c r="K32" s="48"/>
      <c r="L32" s="48"/>
      <c r="M32" s="48"/>
      <c r="N32" s="4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31.5" x14ac:dyDescent="0.5">
      <c r="B33" s="51"/>
      <c r="C33" s="48"/>
      <c r="D33" s="53" t="s">
        <v>27</v>
      </c>
      <c r="E33" s="54">
        <f>F176</f>
        <v>10244.000783751022</v>
      </c>
      <c r="F33" s="54">
        <f>L176</f>
        <v>14443.637143317485</v>
      </c>
      <c r="G33" s="48"/>
      <c r="H33" s="55">
        <f>ABS(F33-E33)</f>
        <v>4199.6363595664625</v>
      </c>
      <c r="I33" s="56" t="str">
        <f>IF(F33&gt;E33,"MORE retirement income per year than Scenario A", "LESS retirement income per year than Scenario A")</f>
        <v>MORE retirement income per year than Scenario A</v>
      </c>
      <c r="J33" s="48"/>
      <c r="K33" s="57" t="str">
        <f>IF(F33&gt;E33,"=     +", "=      -")</f>
        <v>=     +</v>
      </c>
      <c r="L33" s="58">
        <f>ABS((F33-E33)/E33)</f>
        <v>0.40996056601517472</v>
      </c>
      <c r="M33" s="48"/>
      <c r="N33" s="4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31.5" x14ac:dyDescent="0.5">
      <c r="B34" s="51"/>
      <c r="C34" s="48"/>
      <c r="D34" s="53" t="s">
        <v>28</v>
      </c>
      <c r="E34" s="59">
        <f>SUM(J136:J201)</f>
        <v>192508.20544091045</v>
      </c>
      <c r="F34" s="54">
        <f>SUM(O136:O201)</f>
        <v>130237.25204718611</v>
      </c>
      <c r="G34" s="48"/>
      <c r="H34" s="55">
        <f>ABS(F34-E34)</f>
        <v>62270.95339372434</v>
      </c>
      <c r="I34" s="48" t="str">
        <f>IF(F34&lt;E34,"LOWER lifetime fees than Scenario A","MORE lifetime fees than Scenario A")</f>
        <v>LOWER lifetime fees than Scenario A</v>
      </c>
      <c r="J34" s="48"/>
      <c r="K34" s="57" t="str">
        <f>IF(F34&gt;E34,"=     +", "=      -")</f>
        <v>=      -</v>
      </c>
      <c r="L34" s="58">
        <f>ABS((F34-E34)/E34)</f>
        <v>0.32347168397888443</v>
      </c>
      <c r="M34" s="48"/>
      <c r="N34" s="4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31.5" x14ac:dyDescent="0.5">
      <c r="B35" s="51"/>
      <c r="C35" s="48"/>
      <c r="D35" s="53" t="s">
        <v>29</v>
      </c>
      <c r="E35" s="59">
        <f>I175</f>
        <v>300037.26697551768</v>
      </c>
      <c r="F35" s="59">
        <f>N175</f>
        <v>373678.68237128749</v>
      </c>
      <c r="G35" s="48"/>
      <c r="H35" s="55">
        <f>ABS(F35-E35)</f>
        <v>73641.415395769814</v>
      </c>
      <c r="I35" s="48" t="str">
        <f>IF(F35&gt;E35, "HIGHER value at age 65 than Scenario A", "LOWER value at age 65 than Scenario A")</f>
        <v>HIGHER value at age 65 than Scenario A</v>
      </c>
      <c r="J35" s="48"/>
      <c r="K35" s="57" t="str">
        <f>IF(F35&gt;E35,"=     +", "=      -")</f>
        <v>=     +</v>
      </c>
      <c r="L35" s="58">
        <f>ABS((F35-E35)/E35)</f>
        <v>0.24544089518645953</v>
      </c>
      <c r="M35" s="48"/>
      <c r="N35" s="4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32.25" thickBot="1" x14ac:dyDescent="0.55000000000000004">
      <c r="B36" s="60"/>
      <c r="C36" s="61"/>
      <c r="D36" s="62" t="s">
        <v>30</v>
      </c>
      <c r="E36" s="63">
        <f>SUM(F176:F201)</f>
        <v>256100.01959377553</v>
      </c>
      <c r="F36" s="63">
        <f>SUM(L176:L201)</f>
        <v>361090.92858293722</v>
      </c>
      <c r="G36" s="61"/>
      <c r="H36" s="64">
        <f>ABS(F36-E36)</f>
        <v>104990.90898916169</v>
      </c>
      <c r="I36" s="65" t="str">
        <f>IF(F36&gt;E36, "MORE overall retirement income than Scenario A", "LESS overall retirement income than Scenario A")</f>
        <v>MORE overall retirement income than Scenario A</v>
      </c>
      <c r="J36" s="61"/>
      <c r="K36" s="66" t="str">
        <f>IF(F36&gt;E36,"=     +", "=      -")</f>
        <v>=     +</v>
      </c>
      <c r="L36" s="67">
        <f>ABS((F36-E36)/E36)</f>
        <v>0.40996056601517522</v>
      </c>
      <c r="M36" s="61"/>
      <c r="N36" s="6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5.75" thickBot="1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ht="31.5" x14ac:dyDescent="0.5">
      <c r="B39" s="44" t="s">
        <v>42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5.25" customHeight="1" x14ac:dyDescent="0.25">
      <c r="B40" s="51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26.25" x14ac:dyDescent="0.4">
      <c r="B41" s="50">
        <f>L58</f>
        <v>0.41129723545231739</v>
      </c>
      <c r="C41" s="41" t="str">
        <f>I58</f>
        <v>MORE income per year than Scenario A to start</v>
      </c>
      <c r="D41" s="40"/>
      <c r="E41" s="48"/>
      <c r="F41" s="48"/>
      <c r="G41" s="42">
        <f>L61</f>
        <v>0.41129723545231689</v>
      </c>
      <c r="H41" s="41" t="str">
        <f>I61</f>
        <v>MORE overall retirement income than Scenario A</v>
      </c>
      <c r="I41" s="40"/>
      <c r="J41" s="48"/>
      <c r="K41" s="42">
        <f>L59</f>
        <v>0.31055393226167627</v>
      </c>
      <c r="L41" s="41" t="str">
        <f>I59</f>
        <v>LOWER lifetime fees than Scenario A</v>
      </c>
      <c r="M41" s="48"/>
      <c r="N41" s="4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x14ac:dyDescent="0.25">
      <c r="B42" s="5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x14ac:dyDescent="0.25">
      <c r="B43" s="5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x14ac:dyDescent="0.25">
      <c r="B44" s="5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x14ac:dyDescent="0.25">
      <c r="B45" s="5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x14ac:dyDescent="0.25">
      <c r="B46" s="5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x14ac:dyDescent="0.25">
      <c r="B47" s="5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x14ac:dyDescent="0.25">
      <c r="B48" s="5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x14ac:dyDescent="0.25">
      <c r="B49" s="5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x14ac:dyDescent="0.25">
      <c r="B50" s="5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x14ac:dyDescent="0.25">
      <c r="B51" s="5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x14ac:dyDescent="0.25">
      <c r="B52" s="5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x14ac:dyDescent="0.25">
      <c r="B53" s="5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 x14ac:dyDescent="0.25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x14ac:dyDescent="0.25">
      <c r="B55" s="51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25.5" customHeight="1" x14ac:dyDescent="0.25">
      <c r="B56" s="51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ht="21" x14ac:dyDescent="0.35">
      <c r="B57" s="75"/>
      <c r="C57" s="70"/>
      <c r="D57" s="70"/>
      <c r="E57" s="71" t="s">
        <v>25</v>
      </c>
      <c r="F57" s="71" t="s">
        <v>26</v>
      </c>
      <c r="G57" s="70"/>
      <c r="H57" s="52" t="s">
        <v>31</v>
      </c>
      <c r="I57" s="70"/>
      <c r="J57" s="70"/>
      <c r="K57" s="70"/>
      <c r="L57" s="69"/>
      <c r="M57" s="69"/>
      <c r="N57" s="76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2:30" ht="31.5" x14ac:dyDescent="0.5">
      <c r="B58" s="75"/>
      <c r="C58" s="70"/>
      <c r="D58" s="74" t="s">
        <v>36</v>
      </c>
      <c r="E58" s="72">
        <f>F106</f>
        <v>18407.358873999867</v>
      </c>
      <c r="F58" s="72">
        <f>L106</f>
        <v>25978.254690854694</v>
      </c>
      <c r="G58" s="70"/>
      <c r="H58" s="55">
        <f>ABS(F58-E58)</f>
        <v>7570.895816854827</v>
      </c>
      <c r="I58" s="70" t="str">
        <f>IF(F58&gt;E58,"MORE income per year than Scenario A to start", "LESS income per year than Scenario A to start")</f>
        <v>MORE income per year than Scenario A to start</v>
      </c>
      <c r="J58" s="70"/>
      <c r="K58" s="57" t="str">
        <f>IF(F58&gt;E58,"=     +", "=      -")</f>
        <v>=     +</v>
      </c>
      <c r="L58" s="58">
        <f>ABS((F58-E58)/E58)</f>
        <v>0.41129723545231739</v>
      </c>
      <c r="M58" s="69"/>
      <c r="N58" s="7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2:30" ht="31.5" x14ac:dyDescent="0.5">
      <c r="B59" s="75"/>
      <c r="C59" s="70"/>
      <c r="D59" s="74" t="s">
        <v>37</v>
      </c>
      <c r="E59" s="72">
        <f>SUM(J66:J131)</f>
        <v>350798.26135235775</v>
      </c>
      <c r="F59" s="73">
        <f>SUM(O66:O131)</f>
        <v>241856.48185882383</v>
      </c>
      <c r="G59" s="70"/>
      <c r="H59" s="55">
        <f>ABS(F59-E59)</f>
        <v>108941.77949353392</v>
      </c>
      <c r="I59" s="70" t="str">
        <f>IF(F59&lt;E59,"LOWER lifetime fees than Scenario A","MORE lifetime fees than Scenario A")</f>
        <v>LOWER lifetime fees than Scenario A</v>
      </c>
      <c r="J59" s="70"/>
      <c r="K59" s="57" t="str">
        <f>IF(F59&gt;E59,"=     +", "=      -")</f>
        <v>=      -</v>
      </c>
      <c r="L59" s="58">
        <f>ABS((F59-E59)/E59)</f>
        <v>0.31055393226167627</v>
      </c>
      <c r="M59" s="69"/>
      <c r="N59" s="7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2:30" ht="31.5" x14ac:dyDescent="0.5">
      <c r="B60" s="75"/>
      <c r="C60" s="70"/>
      <c r="D60" s="74" t="s">
        <v>38</v>
      </c>
      <c r="E60" s="73">
        <f>I105</f>
        <v>539134.44223401917</v>
      </c>
      <c r="F60" s="73">
        <f>N105</f>
        <v>672096.63929252024</v>
      </c>
      <c r="G60" s="70"/>
      <c r="H60" s="55">
        <f>ABS(F60-E60)</f>
        <v>132962.19705850107</v>
      </c>
      <c r="I60" s="70" t="str">
        <f>IF(F60&gt;E60, "HIGHER value at age 65 than Scenario A", "LOWER value at age 65 than Scenario A")</f>
        <v>HIGHER value at age 65 than Scenario A</v>
      </c>
      <c r="J60" s="70"/>
      <c r="K60" s="57" t="str">
        <f>IF(F60&gt;E60,"=     +", "=      -")</f>
        <v>=     +</v>
      </c>
      <c r="L60" s="58">
        <f>ABS((F60-E60)/E60)</f>
        <v>0.24662159684612933</v>
      </c>
      <c r="M60" s="69"/>
      <c r="N60" s="7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2:30" ht="32.25" thickBot="1" x14ac:dyDescent="0.55000000000000004">
      <c r="B61" s="77"/>
      <c r="C61" s="78"/>
      <c r="D61" s="79" t="s">
        <v>39</v>
      </c>
      <c r="E61" s="80">
        <f>SUM(F106:F131)</f>
        <v>671118.76265352406</v>
      </c>
      <c r="F61" s="80">
        <f>SUM(L106:L131)</f>
        <v>947148.05439309811</v>
      </c>
      <c r="G61" s="78"/>
      <c r="H61" s="64">
        <f>ABS(F61-E61)</f>
        <v>276029.29173957405</v>
      </c>
      <c r="I61" s="78" t="str">
        <f>IF(F61&gt;E61, "MORE overall retirement income than Scenario A", "LESS overall retirement income than Scenario A")</f>
        <v>MORE overall retirement income than Scenario A</v>
      </c>
      <c r="J61" s="78"/>
      <c r="K61" s="66" t="str">
        <f>IF(F61&gt;E61,"=     +", "=      -")</f>
        <v>=     +</v>
      </c>
      <c r="L61" s="67">
        <f>ABS((F61-E61)/E61)</f>
        <v>0.41129723545231689</v>
      </c>
      <c r="M61" s="81"/>
      <c r="N61" s="8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2:30" x14ac:dyDescent="0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0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0" ht="23.25" x14ac:dyDescent="0.35">
      <c r="B64" s="36" t="s">
        <v>24</v>
      </c>
    </row>
    <row r="65" spans="1:15" s="10" customFormat="1" x14ac:dyDescent="0.25">
      <c r="A65" s="83"/>
      <c r="B65" s="5" t="s">
        <v>9</v>
      </c>
      <c r="C65" s="10" t="s">
        <v>0</v>
      </c>
      <c r="D65" s="10" t="s">
        <v>10</v>
      </c>
      <c r="E65" s="10" t="s">
        <v>12</v>
      </c>
      <c r="F65" s="10" t="s">
        <v>21</v>
      </c>
      <c r="G65" s="10" t="s">
        <v>19</v>
      </c>
      <c r="H65" s="10" t="s">
        <v>13</v>
      </c>
      <c r="I65" s="10" t="s">
        <v>14</v>
      </c>
      <c r="J65" s="10" t="s">
        <v>15</v>
      </c>
      <c r="K65" s="16" t="s">
        <v>20</v>
      </c>
      <c r="L65" s="16" t="s">
        <v>22</v>
      </c>
      <c r="M65" s="16" t="s">
        <v>16</v>
      </c>
      <c r="N65" s="16" t="s">
        <v>17</v>
      </c>
      <c r="O65" s="16" t="s">
        <v>18</v>
      </c>
    </row>
    <row r="66" spans="1:15" x14ac:dyDescent="0.25">
      <c r="B66" s="1">
        <v>25</v>
      </c>
      <c r="C66" s="6">
        <f t="shared" ref="C66:C85" si="0">incomegrowthrate1</f>
        <v>0.05</v>
      </c>
      <c r="D66" s="11">
        <f>startingincome</f>
        <v>25000</v>
      </c>
      <c r="E66" s="14">
        <f t="shared" ref="E66:E85" si="1">D66*savingsrate1</f>
        <v>2500</v>
      </c>
      <c r="F66" s="4"/>
      <c r="G66" s="6">
        <f t="shared" ref="G66:G85" si="2">1-EXP(-costportfolioA1)</f>
        <v>2.2248762806663658E-2</v>
      </c>
      <c r="H66" s="11">
        <f>E66*(1+benchmarkgrowthrate1)</f>
        <v>2700</v>
      </c>
      <c r="I66" s="11">
        <f>E66*(1+benchmarkgrowthrate1)*(1-ccca1)</f>
        <v>2639.9283404220082</v>
      </c>
      <c r="J66" s="11">
        <f>H66-I66</f>
        <v>60.071659577991795</v>
      </c>
      <c r="K66" s="19">
        <f t="shared" ref="K66:K85" si="3">1-EXP(-costportfolioB1)</f>
        <v>1.2422199506118559E-2</v>
      </c>
      <c r="L66" s="4"/>
      <c r="M66" s="17">
        <f>E66*(1+benchmarkgrowthrate1)</f>
        <v>2700</v>
      </c>
      <c r="N66" s="17">
        <f>E66*(1+benchmarkgrowthrate1)*(1-cccb1)</f>
        <v>2666.4600613334801</v>
      </c>
      <c r="O66" s="17">
        <f>M66-N66</f>
        <v>33.539938666519902</v>
      </c>
    </row>
    <row r="67" spans="1:15" x14ac:dyDescent="0.25">
      <c r="B67" s="1">
        <v>26</v>
      </c>
      <c r="C67" s="6">
        <f t="shared" si="0"/>
        <v>0.05</v>
      </c>
      <c r="D67" s="11">
        <f t="shared" ref="D67:D85" si="4">D66*(1+incomegrowthrate1)</f>
        <v>26250</v>
      </c>
      <c r="E67" s="14">
        <f t="shared" si="1"/>
        <v>2625</v>
      </c>
      <c r="F67" s="4"/>
      <c r="G67" s="6">
        <f t="shared" si="2"/>
        <v>2.2248762806663658E-2</v>
      </c>
      <c r="H67" s="11">
        <f t="shared" ref="H67:H85" si="5">(I66+E67)*(1+benchmarkgrowthrate1)</f>
        <v>5686.1226076557687</v>
      </c>
      <c r="I67" s="11">
        <f>(I66+E67)*(1+benchmarkgrowthrate1)*(1-ccca1)</f>
        <v>5559.6134144684274</v>
      </c>
      <c r="J67" s="11">
        <f t="shared" ref="J67:J130" si="6">H67-I67</f>
        <v>126.50919318734122</v>
      </c>
      <c r="K67" s="19">
        <f t="shared" si="3"/>
        <v>1.2422199506118559E-2</v>
      </c>
      <c r="L67" s="4"/>
      <c r="M67" s="17">
        <f t="shared" ref="M67:M85" si="7">(N66+E67)*(1+benchmarkgrowthrate1)</f>
        <v>5714.7768662401595</v>
      </c>
      <c r="N67" s="17">
        <f t="shared" ref="N67:N85" si="8">(N66+E67)*(1+benchmarkgrowthrate1)*(1-cccb1)</f>
        <v>5643.7867678747734</v>
      </c>
      <c r="O67" s="17">
        <f t="shared" ref="O67:O130" si="9">M67-N67</f>
        <v>70.990098365386075</v>
      </c>
    </row>
    <row r="68" spans="1:15" x14ac:dyDescent="0.25">
      <c r="B68" s="1">
        <v>27</v>
      </c>
      <c r="C68" s="6">
        <f t="shared" si="0"/>
        <v>0.05</v>
      </c>
      <c r="D68" s="11">
        <f t="shared" si="4"/>
        <v>27562.5</v>
      </c>
      <c r="E68" s="14">
        <f t="shared" si="1"/>
        <v>2756.25</v>
      </c>
      <c r="F68" s="4"/>
      <c r="G68" s="6">
        <f t="shared" si="2"/>
        <v>2.2248762806663658E-2</v>
      </c>
      <c r="H68" s="11">
        <f t="shared" si="5"/>
        <v>8981.1324876259023</v>
      </c>
      <c r="I68" s="11">
        <f t="shared" ref="I68:I85" si="10">(I67+E68)*(1+benchmarkgrowthrate1)*(1-ccca1)</f>
        <v>8781.3134011734928</v>
      </c>
      <c r="J68" s="11">
        <f t="shared" si="6"/>
        <v>199.81908645240946</v>
      </c>
      <c r="K68" s="19">
        <f t="shared" si="3"/>
        <v>1.2422199506118559E-2</v>
      </c>
      <c r="L68" s="4"/>
      <c r="M68" s="17">
        <f t="shared" si="7"/>
        <v>9072.0397093047559</v>
      </c>
      <c r="N68" s="17">
        <f t="shared" si="8"/>
        <v>8959.3450221083422</v>
      </c>
      <c r="O68" s="17">
        <f t="shared" si="9"/>
        <v>112.69468719641372</v>
      </c>
    </row>
    <row r="69" spans="1:15" x14ac:dyDescent="0.25">
      <c r="B69" s="1">
        <v>28</v>
      </c>
      <c r="C69" s="6">
        <f t="shared" si="0"/>
        <v>0.05</v>
      </c>
      <c r="D69" s="11">
        <f t="shared" si="4"/>
        <v>28940.625</v>
      </c>
      <c r="E69" s="14">
        <f t="shared" si="1"/>
        <v>2894.0625</v>
      </c>
      <c r="F69" s="4"/>
      <c r="G69" s="6">
        <f t="shared" si="2"/>
        <v>2.2248762806663658E-2</v>
      </c>
      <c r="H69" s="11">
        <f t="shared" si="5"/>
        <v>12609.405973267372</v>
      </c>
      <c r="I69" s="11">
        <f t="shared" si="10"/>
        <v>12328.862290635219</v>
      </c>
      <c r="J69" s="11">
        <f t="shared" si="6"/>
        <v>280.54368263215292</v>
      </c>
      <c r="K69" s="19">
        <f t="shared" si="3"/>
        <v>1.2422199506118559E-2</v>
      </c>
      <c r="L69" s="4"/>
      <c r="M69" s="17">
        <f t="shared" si="7"/>
        <v>12801.680123877011</v>
      </c>
      <c r="N69" s="17">
        <f t="shared" si="8"/>
        <v>12642.655099364698</v>
      </c>
      <c r="O69" s="17">
        <f t="shared" si="9"/>
        <v>159.02502451231339</v>
      </c>
    </row>
    <row r="70" spans="1:15" x14ac:dyDescent="0.25">
      <c r="B70" s="1">
        <v>29</v>
      </c>
      <c r="C70" s="6">
        <f t="shared" si="0"/>
        <v>0.05</v>
      </c>
      <c r="D70" s="11">
        <f t="shared" si="4"/>
        <v>30387.65625</v>
      </c>
      <c r="E70" s="14">
        <f t="shared" si="1"/>
        <v>3038.765625</v>
      </c>
      <c r="F70" s="4"/>
      <c r="G70" s="6">
        <f t="shared" si="2"/>
        <v>2.2248762806663658E-2</v>
      </c>
      <c r="H70" s="11">
        <f t="shared" si="5"/>
        <v>16597.038148886037</v>
      </c>
      <c r="I70" s="11">
        <f t="shared" si="10"/>
        <v>16227.774583818324</v>
      </c>
      <c r="J70" s="11">
        <f t="shared" si="6"/>
        <v>369.26356506771299</v>
      </c>
      <c r="K70" s="19">
        <f t="shared" si="3"/>
        <v>1.2422199506118559E-2</v>
      </c>
      <c r="L70" s="4"/>
      <c r="M70" s="17">
        <f t="shared" si="7"/>
        <v>16935.934382313873</v>
      </c>
      <c r="N70" s="17">
        <f t="shared" si="8"/>
        <v>16725.552826594238</v>
      </c>
      <c r="O70" s="17">
        <f t="shared" si="9"/>
        <v>210.3815557196358</v>
      </c>
    </row>
    <row r="71" spans="1:15" x14ac:dyDescent="0.25">
      <c r="B71" s="1">
        <v>30</v>
      </c>
      <c r="C71" s="6">
        <f t="shared" si="0"/>
        <v>0.05</v>
      </c>
      <c r="D71" s="11">
        <f t="shared" si="4"/>
        <v>31907.0390625</v>
      </c>
      <c r="E71" s="14">
        <f t="shared" si="1"/>
        <v>3190.7039062500003</v>
      </c>
      <c r="F71" s="4"/>
      <c r="G71" s="6">
        <f t="shared" si="2"/>
        <v>2.2248762806663658E-2</v>
      </c>
      <c r="H71" s="11">
        <f t="shared" si="5"/>
        <v>20971.956769273791</v>
      </c>
      <c r="I71" s="11">
        <f t="shared" si="10"/>
        <v>20505.356677522614</v>
      </c>
      <c r="J71" s="11">
        <f t="shared" si="6"/>
        <v>466.60009175117739</v>
      </c>
      <c r="K71" s="19">
        <f t="shared" si="3"/>
        <v>1.2422199506118559E-2</v>
      </c>
      <c r="L71" s="4"/>
      <c r="M71" s="17">
        <f t="shared" si="7"/>
        <v>21509.557271471778</v>
      </c>
      <c r="N71" s="17">
        <f t="shared" si="8"/>
        <v>21242.361259757272</v>
      </c>
      <c r="O71" s="17">
        <f t="shared" si="9"/>
        <v>267.19601171450631</v>
      </c>
    </row>
    <row r="72" spans="1:15" x14ac:dyDescent="0.25">
      <c r="B72" s="1">
        <v>31</v>
      </c>
      <c r="C72" s="6">
        <f t="shared" si="0"/>
        <v>0.05</v>
      </c>
      <c r="D72" s="11">
        <f t="shared" si="4"/>
        <v>33502.391015624999</v>
      </c>
      <c r="E72" s="14">
        <f t="shared" si="1"/>
        <v>3350.2391015624999</v>
      </c>
      <c r="F72" s="4"/>
      <c r="G72" s="6">
        <f t="shared" si="2"/>
        <v>2.2248762806663658E-2</v>
      </c>
      <c r="H72" s="11">
        <f t="shared" si="5"/>
        <v>25764.043441411923</v>
      </c>
      <c r="I72" s="11">
        <f t="shared" si="10"/>
        <v>25190.82534994337</v>
      </c>
      <c r="J72" s="11">
        <f t="shared" si="6"/>
        <v>573.2180914685523</v>
      </c>
      <c r="K72" s="19">
        <f t="shared" si="3"/>
        <v>1.2422199506118559E-2</v>
      </c>
      <c r="L72" s="4"/>
      <c r="M72" s="17">
        <f t="shared" si="7"/>
        <v>26560.008390225354</v>
      </c>
      <c r="N72" s="17">
        <f t="shared" si="8"/>
        <v>26230.074667117791</v>
      </c>
      <c r="O72" s="17">
        <f t="shared" si="9"/>
        <v>329.9337231075624</v>
      </c>
    </row>
    <row r="73" spans="1:15" x14ac:dyDescent="0.25">
      <c r="B73" s="1">
        <v>32</v>
      </c>
      <c r="C73" s="6">
        <f t="shared" si="0"/>
        <v>0.05</v>
      </c>
      <c r="D73" s="11">
        <f t="shared" si="4"/>
        <v>35177.51056640625</v>
      </c>
      <c r="E73" s="14">
        <f t="shared" si="1"/>
        <v>3517.7510566406254</v>
      </c>
      <c r="F73" s="4"/>
      <c r="G73" s="6">
        <f t="shared" si="2"/>
        <v>2.2248762806663658E-2</v>
      </c>
      <c r="H73" s="11">
        <f t="shared" si="5"/>
        <v>31005.262519110718</v>
      </c>
      <c r="I73" s="11">
        <f t="shared" si="10"/>
        <v>30315.433787564685</v>
      </c>
      <c r="J73" s="11">
        <f t="shared" si="6"/>
        <v>689.82873154603294</v>
      </c>
      <c r="K73" s="19">
        <f t="shared" si="3"/>
        <v>1.2422199506118559E-2</v>
      </c>
      <c r="L73" s="4"/>
      <c r="M73" s="17">
        <f t="shared" si="7"/>
        <v>32127.651781659093</v>
      </c>
      <c r="N73" s="17">
        <f t="shared" si="8"/>
        <v>31728.555681564219</v>
      </c>
      <c r="O73" s="17">
        <f t="shared" si="9"/>
        <v>399.09610009487369</v>
      </c>
    </row>
    <row r="74" spans="1:15" x14ac:dyDescent="0.25">
      <c r="B74" s="1">
        <v>33</v>
      </c>
      <c r="C74" s="6">
        <f t="shared" si="0"/>
        <v>0.05</v>
      </c>
      <c r="D74" s="11">
        <f t="shared" si="4"/>
        <v>36936.386094726564</v>
      </c>
      <c r="E74" s="14">
        <f t="shared" si="1"/>
        <v>3693.6386094726568</v>
      </c>
      <c r="F74" s="4"/>
      <c r="G74" s="6">
        <f t="shared" si="2"/>
        <v>2.2248762806663658E-2</v>
      </c>
      <c r="H74" s="11">
        <f t="shared" si="5"/>
        <v>36729.798188800334</v>
      </c>
      <c r="I74" s="11">
        <f t="shared" si="10"/>
        <v>35912.605620961091</v>
      </c>
      <c r="J74" s="11">
        <f t="shared" si="6"/>
        <v>817.19256783924357</v>
      </c>
      <c r="K74" s="19">
        <f t="shared" si="3"/>
        <v>1.2422199506118559E-2</v>
      </c>
      <c r="L74" s="4"/>
      <c r="M74" s="17">
        <f t="shared" si="7"/>
        <v>38255.969834319825</v>
      </c>
      <c r="N74" s="17">
        <f t="shared" si="8"/>
        <v>37780.746544737849</v>
      </c>
      <c r="O74" s="17">
        <f t="shared" si="9"/>
        <v>475.22328958197613</v>
      </c>
    </row>
    <row r="75" spans="1:15" x14ac:dyDescent="0.25">
      <c r="B75" s="1">
        <v>34</v>
      </c>
      <c r="C75" s="6">
        <f t="shared" si="0"/>
        <v>0.05</v>
      </c>
      <c r="D75" s="11">
        <f t="shared" si="4"/>
        <v>38783.205399462895</v>
      </c>
      <c r="E75" s="14">
        <f t="shared" si="1"/>
        <v>3878.3205399462895</v>
      </c>
      <c r="F75" s="4"/>
      <c r="G75" s="6">
        <f t="shared" si="2"/>
        <v>2.2248762806663658E-2</v>
      </c>
      <c r="H75" s="11">
        <f t="shared" si="5"/>
        <v>42974.200253779971</v>
      </c>
      <c r="I75" s="11">
        <f t="shared" si="10"/>
        <v>42018.077465527553</v>
      </c>
      <c r="J75" s="11">
        <f t="shared" si="6"/>
        <v>956.1227882524181</v>
      </c>
      <c r="K75" s="19">
        <f t="shared" si="3"/>
        <v>1.2422199506118559E-2</v>
      </c>
      <c r="L75" s="4"/>
      <c r="M75" s="17">
        <f t="shared" si="7"/>
        <v>44991.792451458874</v>
      </c>
      <c r="N75" s="17">
        <f t="shared" si="8"/>
        <v>44432.89542948897</v>
      </c>
      <c r="O75" s="17">
        <f t="shared" si="9"/>
        <v>558.89702196990402</v>
      </c>
    </row>
    <row r="76" spans="1:15" x14ac:dyDescent="0.25">
      <c r="B76" s="1">
        <v>35</v>
      </c>
      <c r="C76" s="6">
        <f t="shared" si="0"/>
        <v>0.05</v>
      </c>
      <c r="D76" s="11">
        <f t="shared" si="4"/>
        <v>40722.36566943604</v>
      </c>
      <c r="E76" s="14">
        <f t="shared" si="1"/>
        <v>4072.236566943604</v>
      </c>
      <c r="F76" s="4"/>
      <c r="G76" s="6">
        <f t="shared" si="2"/>
        <v>2.2248762806663658E-2</v>
      </c>
      <c r="H76" s="11">
        <f t="shared" si="5"/>
        <v>49777.539155068851</v>
      </c>
      <c r="I76" s="11">
        <f t="shared" si="10"/>
        <v>48670.050493308314</v>
      </c>
      <c r="J76" s="11">
        <f t="shared" si="6"/>
        <v>1107.4886617605371</v>
      </c>
      <c r="K76" s="19">
        <f t="shared" si="3"/>
        <v>1.2422199506118559E-2</v>
      </c>
      <c r="L76" s="4"/>
      <c r="M76" s="17">
        <f t="shared" si="7"/>
        <v>52385.542556147186</v>
      </c>
      <c r="N76" s="17">
        <f t="shared" si="8"/>
        <v>51734.798895278458</v>
      </c>
      <c r="O76" s="17">
        <f t="shared" si="9"/>
        <v>650.7436608687276</v>
      </c>
    </row>
    <row r="77" spans="1:15" x14ac:dyDescent="0.25">
      <c r="B77" s="1">
        <v>36</v>
      </c>
      <c r="C77" s="6">
        <f t="shared" si="0"/>
        <v>0.05</v>
      </c>
      <c r="D77" s="11">
        <f t="shared" si="4"/>
        <v>42758.483952907845</v>
      </c>
      <c r="E77" s="14">
        <f t="shared" si="1"/>
        <v>4275.8483952907845</v>
      </c>
      <c r="F77" s="4"/>
      <c r="G77" s="6">
        <f t="shared" si="2"/>
        <v>2.2248762806663658E-2</v>
      </c>
      <c r="H77" s="11">
        <f t="shared" si="5"/>
        <v>57181.570799687033</v>
      </c>
      <c r="I77" s="11">
        <f t="shared" si="10"/>
        <v>55909.35159405235</v>
      </c>
      <c r="J77" s="11">
        <f t="shared" si="6"/>
        <v>1272.219205634683</v>
      </c>
      <c r="K77" s="19">
        <f t="shared" si="3"/>
        <v>1.2422199506118559E-2</v>
      </c>
      <c r="L77" s="4"/>
      <c r="M77" s="17">
        <f t="shared" si="7"/>
        <v>60491.499073814783</v>
      </c>
      <c r="N77" s="17">
        <f t="shared" si="8"/>
        <v>59740.061603895672</v>
      </c>
      <c r="O77" s="17">
        <f t="shared" si="9"/>
        <v>751.4374699191103</v>
      </c>
    </row>
    <row r="78" spans="1:15" x14ac:dyDescent="0.25">
      <c r="B78" s="1">
        <v>37</v>
      </c>
      <c r="C78" s="6">
        <f t="shared" si="0"/>
        <v>0.05</v>
      </c>
      <c r="D78" s="11">
        <f t="shared" si="4"/>
        <v>44896.408150553238</v>
      </c>
      <c r="E78" s="14">
        <f t="shared" si="1"/>
        <v>4489.6408150553243</v>
      </c>
      <c r="F78" s="4"/>
      <c r="G78" s="6">
        <f t="shared" si="2"/>
        <v>2.2248762806663658E-2</v>
      </c>
      <c r="H78" s="11">
        <f t="shared" si="5"/>
        <v>65230.911801836293</v>
      </c>
      <c r="I78" s="11">
        <f t="shared" si="10"/>
        <v>63779.60471749484</v>
      </c>
      <c r="J78" s="11">
        <f t="shared" si="6"/>
        <v>1451.3070843414534</v>
      </c>
      <c r="K78" s="19">
        <f t="shared" si="3"/>
        <v>1.2422199506118559E-2</v>
      </c>
      <c r="L78" s="4"/>
      <c r="M78" s="17">
        <f t="shared" si="7"/>
        <v>69368.078612467085</v>
      </c>
      <c r="N78" s="17">
        <f t="shared" si="8"/>
        <v>68506.374500586899</v>
      </c>
      <c r="O78" s="17">
        <f t="shared" si="9"/>
        <v>861.70411188018625</v>
      </c>
    </row>
    <row r="79" spans="1:15" x14ac:dyDescent="0.25">
      <c r="B79" s="1">
        <v>38</v>
      </c>
      <c r="C79" s="6">
        <f t="shared" si="0"/>
        <v>0.05</v>
      </c>
      <c r="D79" s="11">
        <f t="shared" si="4"/>
        <v>47141.228558080904</v>
      </c>
      <c r="E79" s="14">
        <f t="shared" si="1"/>
        <v>4714.1228558080902</v>
      </c>
      <c r="F79" s="4"/>
      <c r="G79" s="6">
        <f t="shared" si="2"/>
        <v>2.2248762806663658E-2</v>
      </c>
      <c r="H79" s="11">
        <f t="shared" si="5"/>
        <v>73973.225779167158</v>
      </c>
      <c r="I79" s="11">
        <f t="shared" si="10"/>
        <v>72327.413024762689</v>
      </c>
      <c r="J79" s="11">
        <f t="shared" si="6"/>
        <v>1645.8127544044692</v>
      </c>
      <c r="K79" s="19">
        <f t="shared" si="3"/>
        <v>1.2422199506118559E-2</v>
      </c>
      <c r="L79" s="4"/>
      <c r="M79" s="17">
        <f t="shared" si="7"/>
        <v>79078.137144906592</v>
      </c>
      <c r="N79" s="17">
        <f t="shared" si="8"/>
        <v>78095.81274872036</v>
      </c>
      <c r="O79" s="17">
        <f t="shared" si="9"/>
        <v>982.32439618623175</v>
      </c>
    </row>
    <row r="80" spans="1:15" x14ac:dyDescent="0.25">
      <c r="B80" s="1">
        <v>39</v>
      </c>
      <c r="C80" s="6">
        <f t="shared" si="0"/>
        <v>0.05</v>
      </c>
      <c r="D80" s="11">
        <f t="shared" si="4"/>
        <v>49498.289985984949</v>
      </c>
      <c r="E80" s="14">
        <f t="shared" si="1"/>
        <v>4949.8289985984957</v>
      </c>
      <c r="F80" s="4"/>
      <c r="G80" s="6">
        <f t="shared" si="2"/>
        <v>2.2248762806663658E-2</v>
      </c>
      <c r="H80" s="11">
        <f t="shared" si="5"/>
        <v>83459.421385230075</v>
      </c>
      <c r="I80" s="11">
        <f t="shared" si="10"/>
        <v>81602.552514848692</v>
      </c>
      <c r="J80" s="11">
        <f t="shared" si="6"/>
        <v>1856.8688703813823</v>
      </c>
      <c r="K80" s="19">
        <f t="shared" si="3"/>
        <v>1.2422199506118559E-2</v>
      </c>
      <c r="L80" s="4"/>
      <c r="M80" s="17">
        <f t="shared" si="7"/>
        <v>89689.293087104365</v>
      </c>
      <c r="N80" s="17">
        <f t="shared" si="8"/>
        <v>88575.154794813614</v>
      </c>
      <c r="O80" s="17">
        <f t="shared" si="9"/>
        <v>1114.1382922907505</v>
      </c>
    </row>
    <row r="81" spans="2:15" x14ac:dyDescent="0.25">
      <c r="B81" s="1">
        <v>40</v>
      </c>
      <c r="C81" s="6">
        <f t="shared" si="0"/>
        <v>0.05</v>
      </c>
      <c r="D81" s="11">
        <f t="shared" si="4"/>
        <v>51973.204485284201</v>
      </c>
      <c r="E81" s="14">
        <f t="shared" si="1"/>
        <v>5197.3204485284205</v>
      </c>
      <c r="F81" s="4"/>
      <c r="G81" s="6">
        <f t="shared" si="2"/>
        <v>2.2248762806663658E-2</v>
      </c>
      <c r="H81" s="11">
        <f t="shared" si="5"/>
        <v>93743.862800447285</v>
      </c>
      <c r="I81" s="11">
        <f t="shared" si="10"/>
        <v>91658.177832419708</v>
      </c>
      <c r="J81" s="11">
        <f t="shared" si="6"/>
        <v>2085.6849680275773</v>
      </c>
      <c r="K81" s="19">
        <f t="shared" si="3"/>
        <v>1.2422199506118559E-2</v>
      </c>
      <c r="L81" s="4"/>
      <c r="M81" s="17">
        <f t="shared" si="7"/>
        <v>101274.27326280941</v>
      </c>
      <c r="N81" s="17">
        <f t="shared" si="8"/>
        <v>100016.22403550163</v>
      </c>
      <c r="O81" s="17">
        <f t="shared" si="9"/>
        <v>1258.0492273077834</v>
      </c>
    </row>
    <row r="82" spans="2:15" x14ac:dyDescent="0.25">
      <c r="B82" s="1">
        <v>41</v>
      </c>
      <c r="C82" s="6">
        <f t="shared" si="0"/>
        <v>0.05</v>
      </c>
      <c r="D82" s="11">
        <f t="shared" si="4"/>
        <v>54571.864709548412</v>
      </c>
      <c r="E82" s="14">
        <f t="shared" si="1"/>
        <v>5457.1864709548418</v>
      </c>
      <c r="F82" s="4"/>
      <c r="G82" s="6">
        <f t="shared" si="2"/>
        <v>2.2248762806663658E-2</v>
      </c>
      <c r="H82" s="11">
        <f t="shared" si="5"/>
        <v>104884.59344764451</v>
      </c>
      <c r="I82" s="11">
        <f t="shared" si="10"/>
        <v>102551.04100595452</v>
      </c>
      <c r="J82" s="11">
        <f t="shared" si="6"/>
        <v>2333.5524416899862</v>
      </c>
      <c r="K82" s="19">
        <f t="shared" si="3"/>
        <v>1.2422199506118559E-2</v>
      </c>
      <c r="L82" s="4"/>
      <c r="M82" s="17">
        <f t="shared" si="7"/>
        <v>113911.283346973</v>
      </c>
      <c r="N82" s="17">
        <f t="shared" si="8"/>
        <v>112496.2546592389</v>
      </c>
      <c r="O82" s="17">
        <f t="shared" si="9"/>
        <v>1415.0286877340986</v>
      </c>
    </row>
    <row r="83" spans="2:15" x14ac:dyDescent="0.25">
      <c r="B83" s="1">
        <v>42</v>
      </c>
      <c r="C83" s="6">
        <f t="shared" si="0"/>
        <v>0.05</v>
      </c>
      <c r="D83" s="11">
        <f t="shared" si="4"/>
        <v>57300.457945025832</v>
      </c>
      <c r="E83" s="14">
        <f t="shared" si="1"/>
        <v>5730.0457945025837</v>
      </c>
      <c r="F83" s="4"/>
      <c r="G83" s="6">
        <f t="shared" si="2"/>
        <v>2.2248762806663658E-2</v>
      </c>
      <c r="H83" s="11">
        <f t="shared" si="5"/>
        <v>116943.57374449368</v>
      </c>
      <c r="I83" s="11">
        <f t="shared" si="10"/>
        <v>114341.72391048886</v>
      </c>
      <c r="J83" s="11">
        <f t="shared" si="6"/>
        <v>2601.8498340048245</v>
      </c>
      <c r="K83" s="19">
        <f t="shared" si="3"/>
        <v>1.2422199506118559E-2</v>
      </c>
      <c r="L83" s="4"/>
      <c r="M83" s="17">
        <f t="shared" si="7"/>
        <v>127684.4044900408</v>
      </c>
      <c r="N83" s="17">
        <f t="shared" si="8"/>
        <v>126098.28334364558</v>
      </c>
      <c r="O83" s="17">
        <f t="shared" si="9"/>
        <v>1586.1211463952204</v>
      </c>
    </row>
    <row r="84" spans="2:15" x14ac:dyDescent="0.25">
      <c r="B84" s="1">
        <v>43</v>
      </c>
      <c r="C84" s="6">
        <f t="shared" si="0"/>
        <v>0.05</v>
      </c>
      <c r="D84" s="11">
        <f t="shared" si="4"/>
        <v>60165.480842277124</v>
      </c>
      <c r="E84" s="14">
        <f t="shared" si="1"/>
        <v>6016.5480842277129</v>
      </c>
      <c r="F84" s="4"/>
      <c r="G84" s="6">
        <f t="shared" si="2"/>
        <v>2.2248762806663658E-2</v>
      </c>
      <c r="H84" s="11">
        <f t="shared" si="5"/>
        <v>129986.9337542939</v>
      </c>
      <c r="I84" s="11">
        <f t="shared" si="10"/>
        <v>127094.88529722912</v>
      </c>
      <c r="J84" s="11">
        <f t="shared" si="6"/>
        <v>2892.0484570647823</v>
      </c>
      <c r="K84" s="19">
        <f t="shared" si="3"/>
        <v>1.2422199506118559E-2</v>
      </c>
      <c r="L84" s="4"/>
      <c r="M84" s="17">
        <f t="shared" si="7"/>
        <v>142684.01794210315</v>
      </c>
      <c r="N84" s="17">
        <f t="shared" si="8"/>
        <v>140911.56860489174</v>
      </c>
      <c r="O84" s="17">
        <f t="shared" si="9"/>
        <v>1772.4493372114084</v>
      </c>
    </row>
    <row r="85" spans="2:15" x14ac:dyDescent="0.25">
      <c r="B85" s="1">
        <v>44</v>
      </c>
      <c r="C85" s="6">
        <f t="shared" si="0"/>
        <v>0.05</v>
      </c>
      <c r="D85" s="11">
        <f t="shared" si="4"/>
        <v>63173.754884390983</v>
      </c>
      <c r="E85" s="14">
        <f t="shared" si="1"/>
        <v>6317.3754884390983</v>
      </c>
      <c r="F85" s="4"/>
      <c r="G85" s="6">
        <f t="shared" si="2"/>
        <v>2.2248762806663658E-2</v>
      </c>
      <c r="H85" s="11">
        <f t="shared" si="5"/>
        <v>144085.24164852168</v>
      </c>
      <c r="I85" s="11">
        <f t="shared" si="10"/>
        <v>140879.52328314292</v>
      </c>
      <c r="J85" s="11">
        <f t="shared" si="6"/>
        <v>3205.7183653787652</v>
      </c>
      <c r="K85" s="19">
        <f t="shared" si="3"/>
        <v>1.2422199506118559E-2</v>
      </c>
      <c r="L85" s="4"/>
      <c r="M85" s="17">
        <f t="shared" si="7"/>
        <v>159007.25962079733</v>
      </c>
      <c r="N85" s="17">
        <f t="shared" si="8"/>
        <v>157032.03971886658</v>
      </c>
      <c r="O85" s="17">
        <f t="shared" si="9"/>
        <v>1975.2199019307445</v>
      </c>
    </row>
    <row r="86" spans="2:15" x14ac:dyDescent="0.25">
      <c r="B86" s="1">
        <v>45</v>
      </c>
      <c r="C86" s="6">
        <f t="shared" ref="C86:C105" si="11">incomegrowthrate2</f>
        <v>0.03</v>
      </c>
      <c r="D86" s="11">
        <f t="shared" ref="D86:D105" si="12">D85*(1+incomegrowthrate2)</f>
        <v>65068.967530922717</v>
      </c>
      <c r="E86" s="14">
        <f t="shared" ref="E86:E105" si="13">D86*savingsrate2</f>
        <v>6506.8967530922719</v>
      </c>
      <c r="F86" s="4"/>
      <c r="G86" s="6">
        <f t="shared" ref="G86:G105" si="14">1-EXP(-costportfolioA2)</f>
        <v>2.2248762806663658E-2</v>
      </c>
      <c r="H86" s="11">
        <f t="shared" ref="H86:H105" si="15">(I85+E86)*(1+benchmarkgrowthrate2)</f>
        <v>156229.60523840931</v>
      </c>
      <c r="I86" s="11">
        <f t="shared" ref="I86:I105" si="16">(I85+E86)*(1+benchmarkgrowthrate2)*(1-ccca2)</f>
        <v>152753.68980808122</v>
      </c>
      <c r="J86" s="11">
        <f t="shared" si="6"/>
        <v>3475.9154303280811</v>
      </c>
      <c r="K86" s="19">
        <f t="shared" ref="K86:K105" si="17">1-EXP(-costportfolioB2)</f>
        <v>1.2422199506118559E-2</v>
      </c>
      <c r="L86" s="4"/>
      <c r="M86" s="17">
        <f t="shared" ref="M86:M105" si="18">(N85+E86)*(1+benchmarkgrowthrate2)</f>
        <v>173351.27266027639</v>
      </c>
      <c r="N86" s="17">
        <f t="shared" ref="N86:N105" si="19">(N85+E86)*(1+benchmarkgrowthrate2)*(1-cccb2)</f>
        <v>171197.86856665087</v>
      </c>
      <c r="O86" s="17">
        <f t="shared" si="9"/>
        <v>2153.4040936255187</v>
      </c>
    </row>
    <row r="87" spans="2:15" x14ac:dyDescent="0.25">
      <c r="B87" s="1">
        <v>46</v>
      </c>
      <c r="C87" s="6">
        <f t="shared" si="11"/>
        <v>0.03</v>
      </c>
      <c r="D87" s="11">
        <f t="shared" si="12"/>
        <v>67021.036556850406</v>
      </c>
      <c r="E87" s="14">
        <f t="shared" si="13"/>
        <v>6702.1036556850413</v>
      </c>
      <c r="F87" s="4"/>
      <c r="G87" s="6">
        <f t="shared" si="14"/>
        <v>2.2248762806663658E-2</v>
      </c>
      <c r="H87" s="11">
        <f t="shared" si="15"/>
        <v>169023.14107159222</v>
      </c>
      <c r="I87" s="11">
        <f t="shared" si="16"/>
        <v>165262.58529705313</v>
      </c>
      <c r="J87" s="11">
        <f t="shared" si="6"/>
        <v>3760.5557745390979</v>
      </c>
      <c r="K87" s="19">
        <f t="shared" si="17"/>
        <v>1.2422199506118559E-2</v>
      </c>
      <c r="L87" s="4"/>
      <c r="M87" s="17">
        <f t="shared" si="18"/>
        <v>188573.97055567606</v>
      </c>
      <c r="N87" s="17">
        <f t="shared" si="19"/>
        <v>186231.46707177252</v>
      </c>
      <c r="O87" s="17">
        <f t="shared" si="9"/>
        <v>2342.5034839035361</v>
      </c>
    </row>
    <row r="88" spans="2:15" x14ac:dyDescent="0.25">
      <c r="B88" s="1">
        <v>47</v>
      </c>
      <c r="C88" s="6">
        <f t="shared" si="11"/>
        <v>0.03</v>
      </c>
      <c r="D88" s="11">
        <f t="shared" si="12"/>
        <v>69031.667653555924</v>
      </c>
      <c r="E88" s="14">
        <f t="shared" si="13"/>
        <v>6903.1667653555924</v>
      </c>
      <c r="F88" s="4"/>
      <c r="G88" s="6">
        <f t="shared" si="14"/>
        <v>2.2248762806663658E-2</v>
      </c>
      <c r="H88" s="11">
        <f t="shared" si="15"/>
        <v>182495.69718615327</v>
      </c>
      <c r="I88" s="11">
        <f t="shared" si="16"/>
        <v>178435.39370622183</v>
      </c>
      <c r="J88" s="11">
        <f t="shared" si="6"/>
        <v>4060.3034799314337</v>
      </c>
      <c r="K88" s="19">
        <f t="shared" si="17"/>
        <v>1.2422199506118559E-2</v>
      </c>
      <c r="L88" s="4"/>
      <c r="M88" s="17">
        <f t="shared" si="18"/>
        <v>204722.7118673558</v>
      </c>
      <c r="N88" s="17">
        <f t="shared" si="19"/>
        <v>202179.60549710589</v>
      </c>
      <c r="O88" s="17">
        <f t="shared" si="9"/>
        <v>2543.1063702499087</v>
      </c>
    </row>
    <row r="89" spans="2:15" x14ac:dyDescent="0.25">
      <c r="B89" s="1">
        <v>48</v>
      </c>
      <c r="C89" s="6">
        <f t="shared" si="11"/>
        <v>0.03</v>
      </c>
      <c r="D89" s="11">
        <f t="shared" si="12"/>
        <v>71102.617683162607</v>
      </c>
      <c r="E89" s="14">
        <f t="shared" si="13"/>
        <v>7110.2617683162607</v>
      </c>
      <c r="F89" s="4"/>
      <c r="G89" s="6">
        <f t="shared" si="14"/>
        <v>2.2248762806663658E-2</v>
      </c>
      <c r="H89" s="11">
        <f t="shared" si="15"/>
        <v>196678.39480301039</v>
      </c>
      <c r="I89" s="11">
        <f t="shared" si="16"/>
        <v>192302.54384784287</v>
      </c>
      <c r="J89" s="11">
        <f t="shared" si="6"/>
        <v>4375.8509551675234</v>
      </c>
      <c r="K89" s="19">
        <f t="shared" si="17"/>
        <v>1.2422199506118559E-2</v>
      </c>
      <c r="L89" s="4"/>
      <c r="M89" s="17">
        <f t="shared" si="18"/>
        <v>221847.25930134751</v>
      </c>
      <c r="N89" s="17">
        <f t="shared" si="19"/>
        <v>219091.42838642056</v>
      </c>
      <c r="O89" s="17">
        <f t="shared" si="9"/>
        <v>2755.830914926948</v>
      </c>
    </row>
    <row r="90" spans="2:15" x14ac:dyDescent="0.25">
      <c r="B90" s="1">
        <v>49</v>
      </c>
      <c r="C90" s="6">
        <f t="shared" si="11"/>
        <v>0.03</v>
      </c>
      <c r="D90" s="11">
        <f t="shared" si="12"/>
        <v>73235.696213657488</v>
      </c>
      <c r="E90" s="14">
        <f t="shared" si="13"/>
        <v>7323.5696213657493</v>
      </c>
      <c r="F90" s="4"/>
      <c r="G90" s="6">
        <f t="shared" si="14"/>
        <v>2.2248762806663658E-2</v>
      </c>
      <c r="H90" s="11">
        <f t="shared" si="15"/>
        <v>211603.68027736116</v>
      </c>
      <c r="I90" s="11">
        <f t="shared" si="16"/>
        <v>206895.76018585305</v>
      </c>
      <c r="J90" s="11">
        <f t="shared" si="6"/>
        <v>4707.9200915081019</v>
      </c>
      <c r="K90" s="19">
        <f t="shared" si="17"/>
        <v>1.2422199506118559E-2</v>
      </c>
      <c r="L90" s="4"/>
      <c r="M90" s="17">
        <f t="shared" si="18"/>
        <v>239999.8978882535</v>
      </c>
      <c r="N90" s="17">
        <f t="shared" si="19"/>
        <v>237018.57127523754</v>
      </c>
      <c r="O90" s="17">
        <f t="shared" si="9"/>
        <v>2981.3266130159609</v>
      </c>
    </row>
    <row r="91" spans="2:15" x14ac:dyDescent="0.25">
      <c r="B91" s="1">
        <v>50</v>
      </c>
      <c r="C91" s="6">
        <f t="shared" si="11"/>
        <v>0.03</v>
      </c>
      <c r="D91" s="11">
        <f t="shared" si="12"/>
        <v>75432.767100067213</v>
      </c>
      <c r="E91" s="14">
        <f t="shared" si="13"/>
        <v>7543.2767100067213</v>
      </c>
      <c r="F91" s="4"/>
      <c r="G91" s="6">
        <f t="shared" si="14"/>
        <v>2.2248762806663658E-2</v>
      </c>
      <c r="H91" s="11">
        <f t="shared" si="15"/>
        <v>227305.37910961139</v>
      </c>
      <c r="I91" s="11">
        <f t="shared" si="16"/>
        <v>222248.11564512289</v>
      </c>
      <c r="J91" s="11">
        <f t="shared" si="6"/>
        <v>5057.2634644884965</v>
      </c>
      <c r="K91" s="19">
        <f t="shared" si="17"/>
        <v>1.2422199506118559E-2</v>
      </c>
      <c r="L91" s="4"/>
      <c r="M91" s="17">
        <f t="shared" si="18"/>
        <v>259235.55886435893</v>
      </c>
      <c r="N91" s="17">
        <f t="shared" si="19"/>
        <v>256015.28303306573</v>
      </c>
      <c r="O91" s="17">
        <f t="shared" si="9"/>
        <v>3220.2758312931983</v>
      </c>
    </row>
    <row r="92" spans="2:15" x14ac:dyDescent="0.25">
      <c r="B92" s="1">
        <v>51</v>
      </c>
      <c r="C92" s="6">
        <f t="shared" si="11"/>
        <v>0.03</v>
      </c>
      <c r="D92" s="11">
        <f t="shared" si="12"/>
        <v>77695.750113069225</v>
      </c>
      <c r="E92" s="14">
        <f t="shared" si="13"/>
        <v>7769.5750113069225</v>
      </c>
      <c r="F92" s="4"/>
      <c r="G92" s="6">
        <f t="shared" si="14"/>
        <v>2.2248762806663658E-2</v>
      </c>
      <c r="H92" s="11">
        <f t="shared" si="15"/>
        <v>243818.75209581561</v>
      </c>
      <c r="I92" s="11">
        <f t="shared" si="16"/>
        <v>238394.08651261908</v>
      </c>
      <c r="J92" s="11">
        <f t="shared" si="6"/>
        <v>5424.6655831965327</v>
      </c>
      <c r="K92" s="19">
        <f t="shared" si="17"/>
        <v>1.2422199506118559E-2</v>
      </c>
      <c r="L92" s="4"/>
      <c r="M92" s="17">
        <f t="shared" si="18"/>
        <v>279611.949527035</v>
      </c>
      <c r="N92" s="17">
        <f t="shared" si="19"/>
        <v>276138.55410571542</v>
      </c>
      <c r="O92" s="17">
        <f t="shared" si="9"/>
        <v>3473.395421319583</v>
      </c>
    </row>
    <row r="93" spans="2:15" x14ac:dyDescent="0.25">
      <c r="B93" s="1">
        <v>52</v>
      </c>
      <c r="C93" s="6">
        <f t="shared" si="11"/>
        <v>0.03</v>
      </c>
      <c r="D93" s="11">
        <f t="shared" si="12"/>
        <v>80026.622616461304</v>
      </c>
      <c r="E93" s="14">
        <f t="shared" si="13"/>
        <v>8002.6622616461309</v>
      </c>
      <c r="F93" s="4"/>
      <c r="G93" s="6">
        <f t="shared" si="14"/>
        <v>2.2248762806663658E-2</v>
      </c>
      <c r="H93" s="11">
        <f t="shared" si="15"/>
        <v>261180.55370072112</v>
      </c>
      <c r="I93" s="11">
        <f t="shared" si="16"/>
        <v>255369.60951172069</v>
      </c>
      <c r="J93" s="11">
        <f t="shared" si="6"/>
        <v>5810.9441890004382</v>
      </c>
      <c r="K93" s="19">
        <f t="shared" si="17"/>
        <v>1.2422199506118559E-2</v>
      </c>
      <c r="L93" s="4"/>
      <c r="M93" s="17">
        <f t="shared" si="18"/>
        <v>301189.68934940326</v>
      </c>
      <c r="N93" s="17">
        <f t="shared" si="19"/>
        <v>297448.25093911908</v>
      </c>
      <c r="O93" s="17">
        <f t="shared" si="9"/>
        <v>3741.4384102841723</v>
      </c>
    </row>
    <row r="94" spans="2:15" x14ac:dyDescent="0.25">
      <c r="B94" s="1">
        <v>53</v>
      </c>
      <c r="C94" s="6">
        <f t="shared" si="11"/>
        <v>0.03</v>
      </c>
      <c r="D94" s="11">
        <f t="shared" si="12"/>
        <v>82427.421294955144</v>
      </c>
      <c r="E94" s="14">
        <f t="shared" si="13"/>
        <v>8242.7421294955147</v>
      </c>
      <c r="F94" s="4"/>
      <c r="G94" s="6">
        <f t="shared" si="14"/>
        <v>2.2248762806663658E-2</v>
      </c>
      <c r="H94" s="11">
        <f t="shared" si="15"/>
        <v>279429.09273968916</v>
      </c>
      <c r="I94" s="11">
        <f t="shared" si="16"/>
        <v>273212.14113404258</v>
      </c>
      <c r="J94" s="11">
        <f t="shared" si="6"/>
        <v>6216.95160564658</v>
      </c>
      <c r="K94" s="19">
        <f t="shared" si="17"/>
        <v>1.2422199506118559E-2</v>
      </c>
      <c r="L94" s="4"/>
      <c r="M94" s="17">
        <f t="shared" si="18"/>
        <v>324032.4526527315</v>
      </c>
      <c r="N94" s="17">
        <f t="shared" si="19"/>
        <v>320007.25687942235</v>
      </c>
      <c r="O94" s="17">
        <f t="shared" si="9"/>
        <v>4025.1957733091549</v>
      </c>
    </row>
    <row r="95" spans="2:15" x14ac:dyDescent="0.25">
      <c r="B95" s="1">
        <v>54</v>
      </c>
      <c r="C95" s="6">
        <f t="shared" si="11"/>
        <v>0.03</v>
      </c>
      <c r="D95" s="11">
        <f t="shared" si="12"/>
        <v>84900.243933803795</v>
      </c>
      <c r="E95" s="14">
        <f t="shared" si="13"/>
        <v>8490.0243933803795</v>
      </c>
      <c r="F95" s="4"/>
      <c r="G95" s="6">
        <f t="shared" si="14"/>
        <v>2.2248762806663658E-2</v>
      </c>
      <c r="H95" s="11">
        <f t="shared" si="15"/>
        <v>298604.29545906838</v>
      </c>
      <c r="I95" s="11">
        <f t="shared" si="16"/>
        <v>291960.71931634867</v>
      </c>
      <c r="J95" s="11">
        <f t="shared" si="6"/>
        <v>6643.576142719714</v>
      </c>
      <c r="K95" s="19">
        <f t="shared" si="17"/>
        <v>1.2422199506118559E-2</v>
      </c>
      <c r="L95" s="4"/>
      <c r="M95" s="17">
        <f t="shared" si="18"/>
        <v>348207.11814917094</v>
      </c>
      <c r="N95" s="17">
        <f t="shared" si="19"/>
        <v>343881.61985807132</v>
      </c>
      <c r="O95" s="17">
        <f t="shared" si="9"/>
        <v>4325.4982910996187</v>
      </c>
    </row>
    <row r="96" spans="2:15" x14ac:dyDescent="0.25">
      <c r="B96" s="1">
        <v>55</v>
      </c>
      <c r="C96" s="6">
        <f t="shared" si="11"/>
        <v>0.03</v>
      </c>
      <c r="D96" s="11">
        <f t="shared" si="12"/>
        <v>87447.251251817914</v>
      </c>
      <c r="E96" s="14">
        <f t="shared" si="13"/>
        <v>8744.7251251817925</v>
      </c>
      <c r="F96" s="4"/>
      <c r="G96" s="6">
        <f t="shared" si="14"/>
        <v>2.2248762806663658E-2</v>
      </c>
      <c r="H96" s="11">
        <f t="shared" si="15"/>
        <v>318747.77110802231</v>
      </c>
      <c r="I96" s="11">
        <f t="shared" si="16"/>
        <v>311656.02755348722</v>
      </c>
      <c r="J96" s="11">
        <f t="shared" si="6"/>
        <v>7091.7435545350891</v>
      </c>
      <c r="K96" s="19">
        <f t="shared" si="17"/>
        <v>1.2422199506118559E-2</v>
      </c>
      <c r="L96" s="4"/>
      <c r="M96" s="17">
        <f t="shared" si="18"/>
        <v>373783.92568224831</v>
      </c>
      <c r="N96" s="17">
        <f t="shared" si="19"/>
        <v>369140.70718524326</v>
      </c>
      <c r="O96" s="17">
        <f t="shared" si="9"/>
        <v>4643.2184970050585</v>
      </c>
    </row>
    <row r="97" spans="1:15" x14ac:dyDescent="0.25">
      <c r="B97" s="1">
        <v>56</v>
      </c>
      <c r="C97" s="6">
        <f t="shared" si="11"/>
        <v>0.03</v>
      </c>
      <c r="D97" s="11">
        <f t="shared" si="12"/>
        <v>90070.668789372459</v>
      </c>
      <c r="E97" s="14">
        <f t="shared" si="13"/>
        <v>9007.0668789372467</v>
      </c>
      <c r="F97" s="4"/>
      <c r="G97" s="6">
        <f t="shared" si="14"/>
        <v>2.2248762806663658E-2</v>
      </c>
      <c r="H97" s="11">
        <f t="shared" si="15"/>
        <v>339902.88009836996</v>
      </c>
      <c r="I97" s="11">
        <f t="shared" si="16"/>
        <v>332340.46154175949</v>
      </c>
      <c r="J97" s="11">
        <f t="shared" si="6"/>
        <v>7562.4185566104716</v>
      </c>
      <c r="K97" s="19">
        <f t="shared" si="17"/>
        <v>1.2422199506118559E-2</v>
      </c>
      <c r="L97" s="4"/>
      <c r="M97" s="17">
        <f t="shared" si="18"/>
        <v>400836.64050803136</v>
      </c>
      <c r="N97" s="17">
        <f t="shared" si="19"/>
        <v>395857.36779027828</v>
      </c>
      <c r="O97" s="17">
        <f t="shared" si="9"/>
        <v>4979.272717753076</v>
      </c>
    </row>
    <row r="98" spans="1:15" x14ac:dyDescent="0.25">
      <c r="B98" s="1">
        <v>57</v>
      </c>
      <c r="C98" s="6">
        <f t="shared" si="11"/>
        <v>0.03</v>
      </c>
      <c r="D98" s="11">
        <f t="shared" si="12"/>
        <v>92772.788853053629</v>
      </c>
      <c r="E98" s="14">
        <f t="shared" si="13"/>
        <v>9277.2788853053626</v>
      </c>
      <c r="F98" s="4"/>
      <c r="G98" s="6">
        <f t="shared" si="14"/>
        <v>2.2248762806663658E-2</v>
      </c>
      <c r="H98" s="11">
        <f t="shared" si="15"/>
        <v>362114.80485268874</v>
      </c>
      <c r="I98" s="11">
        <f t="shared" si="16"/>
        <v>354058.19845073996</v>
      </c>
      <c r="J98" s="11">
        <f t="shared" si="6"/>
        <v>8056.6064019487821</v>
      </c>
      <c r="K98" s="19">
        <f t="shared" si="17"/>
        <v>1.2422199506118559E-2</v>
      </c>
      <c r="L98" s="4"/>
      <c r="M98" s="17">
        <f t="shared" si="18"/>
        <v>429442.72547611868</v>
      </c>
      <c r="N98" s="17">
        <f t="shared" si="19"/>
        <v>424108.10226380301</v>
      </c>
      <c r="O98" s="17">
        <f t="shared" si="9"/>
        <v>5334.623212315666</v>
      </c>
    </row>
    <row r="99" spans="1:15" x14ac:dyDescent="0.25">
      <c r="B99" s="1">
        <v>58</v>
      </c>
      <c r="C99" s="6">
        <f t="shared" si="11"/>
        <v>0.03</v>
      </c>
      <c r="D99" s="11">
        <f t="shared" si="12"/>
        <v>95555.972518645242</v>
      </c>
      <c r="E99" s="14">
        <f t="shared" si="13"/>
        <v>9555.5972518645249</v>
      </c>
      <c r="F99" s="4"/>
      <c r="G99" s="6">
        <f t="shared" si="14"/>
        <v>2.2248762806663658E-2</v>
      </c>
      <c r="H99" s="11">
        <f t="shared" si="15"/>
        <v>385430.62344476074</v>
      </c>
      <c r="I99" s="11">
        <f t="shared" si="16"/>
        <v>376855.26892531378</v>
      </c>
      <c r="J99" s="11">
        <f t="shared" si="6"/>
        <v>8575.3545194469625</v>
      </c>
      <c r="K99" s="19">
        <f t="shared" si="17"/>
        <v>1.2422199506118559E-2</v>
      </c>
      <c r="L99" s="4"/>
      <c r="M99" s="17">
        <f t="shared" si="18"/>
        <v>459683.52148660761</v>
      </c>
      <c r="N99" s="17">
        <f t="shared" si="19"/>
        <v>453973.24107302586</v>
      </c>
      <c r="O99" s="17">
        <f t="shared" si="9"/>
        <v>5710.2804135817569</v>
      </c>
    </row>
    <row r="100" spans="1:15" x14ac:dyDescent="0.25">
      <c r="B100" s="1">
        <v>59</v>
      </c>
      <c r="C100" s="6">
        <f t="shared" si="11"/>
        <v>0.03</v>
      </c>
      <c r="D100" s="11">
        <f t="shared" si="12"/>
        <v>98422.6516942046</v>
      </c>
      <c r="E100" s="14">
        <f t="shared" si="13"/>
        <v>9842.2651694204615</v>
      </c>
      <c r="F100" s="4"/>
      <c r="G100" s="6">
        <f t="shared" si="14"/>
        <v>2.2248762806663658E-2</v>
      </c>
      <c r="H100" s="11">
        <f t="shared" si="15"/>
        <v>409899.3861404183</v>
      </c>
      <c r="I100" s="11">
        <f t="shared" si="16"/>
        <v>400779.6319235831</v>
      </c>
      <c r="J100" s="11">
        <f t="shared" si="6"/>
        <v>9119.7542168351938</v>
      </c>
      <c r="K100" s="19">
        <f t="shared" si="17"/>
        <v>1.2422199506118559E-2</v>
      </c>
      <c r="L100" s="4"/>
      <c r="M100" s="17">
        <f t="shared" si="18"/>
        <v>491644.4366169931</v>
      </c>
      <c r="N100" s="17">
        <f t="shared" si="19"/>
        <v>485537.13133926358</v>
      </c>
      <c r="O100" s="17">
        <f t="shared" si="9"/>
        <v>6107.3052777295234</v>
      </c>
    </row>
    <row r="101" spans="1:15" x14ac:dyDescent="0.25">
      <c r="B101" s="1">
        <v>60</v>
      </c>
      <c r="C101" s="6">
        <f t="shared" si="11"/>
        <v>0.03</v>
      </c>
      <c r="D101" s="11">
        <f t="shared" si="12"/>
        <v>101375.33124503074</v>
      </c>
      <c r="E101" s="14">
        <f t="shared" si="13"/>
        <v>10137.533124503076</v>
      </c>
      <c r="F101" s="4"/>
      <c r="G101" s="6">
        <f t="shared" si="14"/>
        <v>2.2248762806663658E-2</v>
      </c>
      <c r="H101" s="11">
        <f t="shared" si="15"/>
        <v>435572.1949509714</v>
      </c>
      <c r="I101" s="11">
        <f t="shared" si="16"/>
        <v>425881.2525003294</v>
      </c>
      <c r="J101" s="11">
        <f t="shared" si="6"/>
        <v>9690.9424506420037</v>
      </c>
      <c r="K101" s="19">
        <f t="shared" si="17"/>
        <v>1.2422199506118559E-2</v>
      </c>
      <c r="L101" s="4"/>
      <c r="M101" s="17">
        <f t="shared" si="18"/>
        <v>525415.14433159272</v>
      </c>
      <c r="N101" s="17">
        <f t="shared" si="19"/>
        <v>518888.33258516958</v>
      </c>
      <c r="O101" s="17">
        <f t="shared" si="9"/>
        <v>6526.8117464231327</v>
      </c>
    </row>
    <row r="102" spans="1:15" x14ac:dyDescent="0.25">
      <c r="B102" s="1">
        <v>61</v>
      </c>
      <c r="C102" s="6">
        <f t="shared" si="11"/>
        <v>0.03</v>
      </c>
      <c r="D102" s="11">
        <f t="shared" si="12"/>
        <v>104416.59118238167</v>
      </c>
      <c r="E102" s="14">
        <f t="shared" si="13"/>
        <v>10441.659118238167</v>
      </c>
      <c r="F102" s="4"/>
      <c r="G102" s="6">
        <f t="shared" si="14"/>
        <v>2.2248762806663658E-2</v>
      </c>
      <c r="H102" s="11">
        <f t="shared" si="15"/>
        <v>462502.28631568159</v>
      </c>
      <c r="I102" s="11">
        <f t="shared" si="16"/>
        <v>452212.18264990434</v>
      </c>
      <c r="J102" s="11">
        <f t="shared" si="6"/>
        <v>10290.103665777249</v>
      </c>
      <c r="K102" s="19">
        <f t="shared" si="17"/>
        <v>1.2422199506118559E-2</v>
      </c>
      <c r="L102" s="4"/>
      <c r="M102" s="17">
        <f t="shared" si="18"/>
        <v>561089.79120561224</v>
      </c>
      <c r="N102" s="17">
        <f t="shared" si="19"/>
        <v>554119.82187840971</v>
      </c>
      <c r="O102" s="17">
        <f t="shared" si="9"/>
        <v>6969.9693272025324</v>
      </c>
    </row>
    <row r="103" spans="1:15" x14ac:dyDescent="0.25">
      <c r="B103" s="1">
        <v>62</v>
      </c>
      <c r="C103" s="6">
        <f t="shared" si="11"/>
        <v>0.03</v>
      </c>
      <c r="D103" s="11">
        <f t="shared" si="12"/>
        <v>107549.08891785312</v>
      </c>
      <c r="E103" s="14">
        <f t="shared" si="13"/>
        <v>10754.908891785313</v>
      </c>
      <c r="F103" s="4"/>
      <c r="G103" s="6">
        <f t="shared" si="14"/>
        <v>2.2248762806663658E-2</v>
      </c>
      <c r="H103" s="11">
        <f t="shared" si="15"/>
        <v>490745.11703419103</v>
      </c>
      <c r="I103" s="11">
        <f t="shared" si="16"/>
        <v>479826.64532676892</v>
      </c>
      <c r="J103" s="11">
        <f t="shared" si="6"/>
        <v>10918.471707422112</v>
      </c>
      <c r="K103" s="19">
        <f t="shared" si="17"/>
        <v>1.2422199506118559E-2</v>
      </c>
      <c r="L103" s="4"/>
      <c r="M103" s="17">
        <f t="shared" si="18"/>
        <v>598767.21461640671</v>
      </c>
      <c r="N103" s="17">
        <f t="shared" si="19"/>
        <v>591329.20881871879</v>
      </c>
      <c r="O103" s="17">
        <f t="shared" si="9"/>
        <v>7438.0057976879179</v>
      </c>
    </row>
    <row r="104" spans="1:15" x14ac:dyDescent="0.25">
      <c r="B104" s="1">
        <v>63</v>
      </c>
      <c r="C104" s="6">
        <f t="shared" si="11"/>
        <v>0.03</v>
      </c>
      <c r="D104" s="11">
        <f t="shared" si="12"/>
        <v>110775.56158538871</v>
      </c>
      <c r="E104" s="14">
        <f t="shared" si="13"/>
        <v>11077.556158538871</v>
      </c>
      <c r="F104" s="4"/>
      <c r="G104" s="6">
        <f t="shared" si="14"/>
        <v>2.2248762806663658E-2</v>
      </c>
      <c r="H104" s="11">
        <f t="shared" si="15"/>
        <v>520358.45357442624</v>
      </c>
      <c r="I104" s="11">
        <f t="shared" si="16"/>
        <v>508781.12176640652</v>
      </c>
      <c r="J104" s="11">
        <f t="shared" si="6"/>
        <v>11577.33180801972</v>
      </c>
      <c r="K104" s="19">
        <f t="shared" si="17"/>
        <v>1.2422199506118559E-2</v>
      </c>
      <c r="L104" s="4"/>
      <c r="M104" s="17">
        <f t="shared" si="18"/>
        <v>638551.17087589321</v>
      </c>
      <c r="N104" s="17">
        <f t="shared" si="19"/>
        <v>630618.96083640726</v>
      </c>
      <c r="O104" s="17">
        <f t="shared" si="9"/>
        <v>7932.2100394859444</v>
      </c>
    </row>
    <row r="105" spans="1:15" x14ac:dyDescent="0.25">
      <c r="B105" s="1">
        <v>64</v>
      </c>
      <c r="C105" s="6">
        <f t="shared" si="11"/>
        <v>0.03</v>
      </c>
      <c r="D105" s="11">
        <f t="shared" si="12"/>
        <v>114098.82843295038</v>
      </c>
      <c r="E105" s="14">
        <f t="shared" si="13"/>
        <v>11409.882843295039</v>
      </c>
      <c r="F105" s="4"/>
      <c r="G105" s="6">
        <f t="shared" si="14"/>
        <v>2.2248762806663658E-2</v>
      </c>
      <c r="H105" s="11">
        <f t="shared" si="15"/>
        <v>551402.46488628373</v>
      </c>
      <c r="I105" s="11">
        <f t="shared" si="16"/>
        <v>539134.44223401917</v>
      </c>
      <c r="J105" s="11">
        <f t="shared" si="6"/>
        <v>12268.022652264568</v>
      </c>
      <c r="K105" s="19">
        <f t="shared" si="17"/>
        <v>1.2422199506118559E-2</v>
      </c>
      <c r="L105" s="101"/>
      <c r="M105" s="17">
        <f t="shared" si="18"/>
        <v>680550.57430048438</v>
      </c>
      <c r="N105" s="17">
        <f t="shared" si="19"/>
        <v>672096.63929252024</v>
      </c>
      <c r="O105" s="17">
        <f t="shared" si="9"/>
        <v>8453.9350079641445</v>
      </c>
    </row>
    <row r="106" spans="1:15" s="8" customFormat="1" x14ac:dyDescent="0.25">
      <c r="A106" s="84"/>
      <c r="B106" s="7">
        <v>65</v>
      </c>
      <c r="C106" s="9"/>
      <c r="D106" s="9"/>
      <c r="E106" s="9"/>
      <c r="F106" s="24">
        <f>PMT((1+benchmarkgrowthrate3)*(1-ccca3)/(1+inflationrate3)-1,25,-I105,0,1)</f>
        <v>18407.358873999867</v>
      </c>
      <c r="G106" s="12">
        <f t="shared" ref="G106:G130" si="20">1-EXP(-costportfolioA3)</f>
        <v>2.2248762806663658E-2</v>
      </c>
      <c r="H106" s="15">
        <f t="shared" ref="H106:H130" si="21">(I105-F106)*(1+benchmarkgrowthrate3)</f>
        <v>541556.16669442016</v>
      </c>
      <c r="I106" s="15">
        <f t="shared" ref="I106:I130" si="22">(I105-F106)*(1+benchmarkgrowthrate3)*(1-ccca3)</f>
        <v>529507.21199514996</v>
      </c>
      <c r="J106" s="15">
        <f t="shared" si="6"/>
        <v>12048.954699270194</v>
      </c>
      <c r="K106" s="20">
        <f t="shared" ref="K106:K130" si="23">1-EXP(-costportfolioB3)</f>
        <v>1.2422199506118559E-2</v>
      </c>
      <c r="L106" s="26">
        <f>PMT((1+benchmarkgrowthrate3)*(1-cccb3)/(1+inflationrate3)-1,25,-N105,0,1)</f>
        <v>25978.254690854694</v>
      </c>
      <c r="M106" s="18">
        <f t="shared" ref="M106:M130" si="24">(N105-L106)*(1+benchmarkgrowthrate3)</f>
        <v>671963.11998573213</v>
      </c>
      <c r="N106" s="18">
        <f t="shared" ref="N106:N130" si="25">(N105-L106)*(1+benchmarkgrowthrate3)*(1-cccb3)</f>
        <v>663615.86004851549</v>
      </c>
      <c r="O106" s="18">
        <f t="shared" si="9"/>
        <v>8347.2599372166442</v>
      </c>
    </row>
    <row r="107" spans="1:15" x14ac:dyDescent="0.25">
      <c r="B107" s="1">
        <v>66</v>
      </c>
      <c r="C107" s="4"/>
      <c r="D107" s="4"/>
      <c r="E107" s="4"/>
      <c r="F107" s="25">
        <f t="shared" ref="F107:F130" si="26">F106*(1+inflationrate3)</f>
        <v>18959.579640219865</v>
      </c>
      <c r="G107" s="13">
        <f t="shared" si="20"/>
        <v>2.2248762806663658E-2</v>
      </c>
      <c r="H107" s="23">
        <f t="shared" si="21"/>
        <v>530969.53764912731</v>
      </c>
      <c r="I107" s="23">
        <f t="shared" si="22"/>
        <v>519156.12234840798</v>
      </c>
      <c r="J107" s="11">
        <f t="shared" si="6"/>
        <v>11813.415300719324</v>
      </c>
      <c r="K107" s="21">
        <f t="shared" si="23"/>
        <v>1.2422199506118559E-2</v>
      </c>
      <c r="L107" s="27">
        <f t="shared" ref="L107:L130" si="27">L106*(1+inflationrate3)</f>
        <v>26757.602331580336</v>
      </c>
      <c r="M107" s="17">
        <f t="shared" si="24"/>
        <v>662332.58802561252</v>
      </c>
      <c r="N107" s="17">
        <f t="shared" si="25"/>
        <v>654104.96047775459</v>
      </c>
      <c r="O107" s="17">
        <f t="shared" si="9"/>
        <v>8227.6275478579337</v>
      </c>
    </row>
    <row r="108" spans="1:15" x14ac:dyDescent="0.25">
      <c r="B108" s="1">
        <v>67</v>
      </c>
      <c r="C108" s="4"/>
      <c r="D108" s="4"/>
      <c r="E108" s="4"/>
      <c r="F108" s="25">
        <f t="shared" si="26"/>
        <v>19528.367029426463</v>
      </c>
      <c r="G108" s="13">
        <f t="shared" si="20"/>
        <v>2.2248762806663658E-2</v>
      </c>
      <c r="H108" s="23">
        <f t="shared" si="21"/>
        <v>519612.86553174083</v>
      </c>
      <c r="I108" s="23">
        <f t="shared" si="22"/>
        <v>508052.1221352343</v>
      </c>
      <c r="J108" s="11">
        <f t="shared" si="6"/>
        <v>11560.743396506528</v>
      </c>
      <c r="K108" s="21">
        <f t="shared" si="23"/>
        <v>1.2422199506118559E-2</v>
      </c>
      <c r="L108" s="27">
        <f t="shared" si="27"/>
        <v>27560.330401527746</v>
      </c>
      <c r="M108" s="17">
        <f t="shared" si="24"/>
        <v>651606.41527927597</v>
      </c>
      <c r="N108" s="17">
        <f t="shared" si="25"/>
        <v>643512.03038921009</v>
      </c>
      <c r="O108" s="17">
        <f t="shared" si="9"/>
        <v>8094.3848900658777</v>
      </c>
    </row>
    <row r="109" spans="1:15" x14ac:dyDescent="0.25">
      <c r="B109" s="1">
        <v>68</v>
      </c>
      <c r="C109" s="4"/>
      <c r="D109" s="4"/>
      <c r="E109" s="4"/>
      <c r="F109" s="25">
        <f t="shared" si="26"/>
        <v>20114.218040309257</v>
      </c>
      <c r="G109" s="13">
        <f t="shared" si="20"/>
        <v>2.2248762806663658E-2</v>
      </c>
      <c r="H109" s="23">
        <f t="shared" si="21"/>
        <v>507455.42025872204</v>
      </c>
      <c r="I109" s="23">
        <f t="shared" si="22"/>
        <v>496165.16497842991</v>
      </c>
      <c r="J109" s="11">
        <f t="shared" si="6"/>
        <v>11290.255280292127</v>
      </c>
      <c r="K109" s="21">
        <f t="shared" si="23"/>
        <v>1.2422199506118559E-2</v>
      </c>
      <c r="L109" s="27">
        <f t="shared" si="27"/>
        <v>28387.140313573578</v>
      </c>
      <c r="M109" s="17">
        <f t="shared" si="24"/>
        <v>639729.8856786621</v>
      </c>
      <c r="N109" s="17">
        <f t="shared" si="25"/>
        <v>631783.0334087353</v>
      </c>
      <c r="O109" s="17">
        <f t="shared" si="9"/>
        <v>7946.8522699268069</v>
      </c>
    </row>
    <row r="110" spans="1:15" x14ac:dyDescent="0.25">
      <c r="B110" s="1">
        <v>69</v>
      </c>
      <c r="C110" s="4"/>
      <c r="D110" s="4"/>
      <c r="E110" s="4"/>
      <c r="F110" s="25">
        <f t="shared" si="26"/>
        <v>20717.644581518536</v>
      </c>
      <c r="G110" s="13">
        <f t="shared" si="20"/>
        <v>2.2248762806663658E-2</v>
      </c>
      <c r="H110" s="23">
        <f t="shared" si="21"/>
        <v>494465.42121278786</v>
      </c>
      <c r="I110" s="23">
        <f t="shared" si="22"/>
        <v>483464.17734012753</v>
      </c>
      <c r="J110" s="11">
        <f t="shared" si="6"/>
        <v>11001.243872660329</v>
      </c>
      <c r="K110" s="21">
        <f t="shared" si="23"/>
        <v>1.2422199506118559E-2</v>
      </c>
      <c r="L110" s="27">
        <f t="shared" si="27"/>
        <v>29238.754522980787</v>
      </c>
      <c r="M110" s="17">
        <f t="shared" si="24"/>
        <v>626646.05004118476</v>
      </c>
      <c r="N110" s="17">
        <f t="shared" si="25"/>
        <v>618861.72778785205</v>
      </c>
      <c r="O110" s="17">
        <f t="shared" si="9"/>
        <v>7784.3222533327062</v>
      </c>
    </row>
    <row r="111" spans="1:15" x14ac:dyDescent="0.25">
      <c r="B111" s="1">
        <v>70</v>
      </c>
      <c r="C111" s="4"/>
      <c r="D111" s="4"/>
      <c r="E111" s="4"/>
      <c r="F111" s="25">
        <f t="shared" si="26"/>
        <v>21339.173918964094</v>
      </c>
      <c r="G111" s="13">
        <f t="shared" si="20"/>
        <v>2.2248762806663658E-2</v>
      </c>
      <c r="H111" s="23">
        <f t="shared" si="21"/>
        <v>480610.00355800998</v>
      </c>
      <c r="I111" s="23">
        <f t="shared" si="22"/>
        <v>469917.02558633802</v>
      </c>
      <c r="J111" s="11">
        <f t="shared" si="6"/>
        <v>10692.977971671964</v>
      </c>
      <c r="K111" s="21">
        <f t="shared" si="23"/>
        <v>1.2422199506118559E-2</v>
      </c>
      <c r="L111" s="27">
        <f t="shared" si="27"/>
        <v>30115.91715867021</v>
      </c>
      <c r="M111" s="17">
        <f t="shared" si="24"/>
        <v>612295.64305434912</v>
      </c>
      <c r="N111" s="17">
        <f t="shared" si="25"/>
        <v>604689.58441960078</v>
      </c>
      <c r="O111" s="17">
        <f t="shared" si="9"/>
        <v>7606.0586347483331</v>
      </c>
    </row>
    <row r="112" spans="1:15" x14ac:dyDescent="0.25">
      <c r="B112" s="1">
        <v>71</v>
      </c>
      <c r="C112" s="4"/>
      <c r="D112" s="4"/>
      <c r="E112" s="4"/>
      <c r="F112" s="25">
        <f t="shared" si="26"/>
        <v>21979.349136533016</v>
      </c>
      <c r="G112" s="13">
        <f t="shared" si="20"/>
        <v>2.2248762806663658E-2</v>
      </c>
      <c r="H112" s="23">
        <f t="shared" si="21"/>
        <v>465855.18350779719</v>
      </c>
      <c r="I112" s="23">
        <f t="shared" si="22"/>
        <v>455490.48202767741</v>
      </c>
      <c r="J112" s="11">
        <f t="shared" si="6"/>
        <v>10364.70148011978</v>
      </c>
      <c r="K112" s="21">
        <f t="shared" si="23"/>
        <v>1.2422199506118559E-2</v>
      </c>
      <c r="L112" s="27">
        <f t="shared" si="27"/>
        <v>31019.394673430317</v>
      </c>
      <c r="M112" s="17">
        <f t="shared" si="24"/>
        <v>596616.9973360172</v>
      </c>
      <c r="N112" s="17">
        <f t="shared" si="25"/>
        <v>589205.70196636778</v>
      </c>
      <c r="O112" s="17">
        <f t="shared" si="9"/>
        <v>7411.2953696494224</v>
      </c>
    </row>
    <row r="113" spans="2:19" x14ac:dyDescent="0.25">
      <c r="B113" s="1">
        <v>72</v>
      </c>
      <c r="C113" s="4"/>
      <c r="D113" s="4"/>
      <c r="E113" s="4"/>
      <c r="F113" s="25">
        <f t="shared" si="26"/>
        <v>22638.729610629005</v>
      </c>
      <c r="G113" s="13">
        <f t="shared" si="20"/>
        <v>2.2248762806663658E-2</v>
      </c>
      <c r="H113" s="23">
        <f t="shared" si="21"/>
        <v>450165.82251373032</v>
      </c>
      <c r="I113" s="23">
        <f t="shared" si="22"/>
        <v>440150.18990495568</v>
      </c>
      <c r="J113" s="11">
        <f t="shared" si="6"/>
        <v>10015.632608774642</v>
      </c>
      <c r="K113" s="21">
        <f t="shared" si="23"/>
        <v>1.2422199506118559E-2</v>
      </c>
      <c r="L113" s="27">
        <f t="shared" si="27"/>
        <v>31949.976513633228</v>
      </c>
      <c r="M113" s="17">
        <f t="shared" si="24"/>
        <v>579545.95447084389</v>
      </c>
      <c r="N113" s="17">
        <f t="shared" si="25"/>
        <v>572346.71900144313</v>
      </c>
      <c r="O113" s="17">
        <f t="shared" si="9"/>
        <v>7199.2354694007663</v>
      </c>
    </row>
    <row r="114" spans="2:19" x14ac:dyDescent="0.25">
      <c r="B114" s="1">
        <v>73</v>
      </c>
      <c r="C114" s="4"/>
      <c r="D114" s="4"/>
      <c r="E114" s="4"/>
      <c r="F114" s="25">
        <f t="shared" si="26"/>
        <v>23317.891498947876</v>
      </c>
      <c r="G114" s="13">
        <f t="shared" si="20"/>
        <v>2.2248762806663658E-2</v>
      </c>
      <c r="H114" s="23">
        <f t="shared" si="21"/>
        <v>433505.59034224815</v>
      </c>
      <c r="I114" s="23">
        <f t="shared" si="22"/>
        <v>423860.62728736078</v>
      </c>
      <c r="J114" s="11">
        <f t="shared" si="6"/>
        <v>9644.9630548873683</v>
      </c>
      <c r="K114" s="21">
        <f t="shared" si="23"/>
        <v>1.2422199506118559E-2</v>
      </c>
      <c r="L114" s="27">
        <f t="shared" si="27"/>
        <v>32908.475809042226</v>
      </c>
      <c r="M114" s="17">
        <f t="shared" si="24"/>
        <v>561015.77292009699</v>
      </c>
      <c r="N114" s="17">
        <f t="shared" si="25"/>
        <v>554046.7230628042</v>
      </c>
      <c r="O114" s="17">
        <f t="shared" si="9"/>
        <v>6969.04985729279</v>
      </c>
    </row>
    <row r="115" spans="2:19" x14ac:dyDescent="0.25">
      <c r="B115" s="1">
        <v>74</v>
      </c>
      <c r="C115" s="4"/>
      <c r="D115" s="4"/>
      <c r="E115" s="4"/>
      <c r="F115" s="25">
        <f t="shared" si="26"/>
        <v>24017.428243916314</v>
      </c>
      <c r="G115" s="13">
        <f t="shared" si="20"/>
        <v>2.2248762806663658E-2</v>
      </c>
      <c r="H115" s="23">
        <f t="shared" si="21"/>
        <v>415836.92700518225</v>
      </c>
      <c r="I115" s="23">
        <f t="shared" si="22"/>
        <v>406585.06984999205</v>
      </c>
      <c r="J115" s="11">
        <f t="shared" si="6"/>
        <v>9251.8571551901987</v>
      </c>
      <c r="K115" s="21">
        <f t="shared" si="23"/>
        <v>1.2422199506118559E-2</v>
      </c>
      <c r="L115" s="27">
        <f t="shared" si="27"/>
        <v>33895.730083313494</v>
      </c>
      <c r="M115" s="17">
        <f t="shared" si="24"/>
        <v>540957.0326986704</v>
      </c>
      <c r="N115" s="17">
        <f t="shared" si="25"/>
        <v>534237.15651424963</v>
      </c>
      <c r="O115" s="17">
        <f t="shared" si="9"/>
        <v>6719.8761844207766</v>
      </c>
    </row>
    <row r="116" spans="2:19" x14ac:dyDescent="0.25">
      <c r="B116" s="1">
        <v>75</v>
      </c>
      <c r="C116" s="4"/>
      <c r="D116" s="4"/>
      <c r="E116" s="4"/>
      <c r="F116" s="25">
        <f t="shared" si="26"/>
        <v>24737.951091233805</v>
      </c>
      <c r="G116" s="13">
        <f t="shared" si="20"/>
        <v>2.2248762806663658E-2</v>
      </c>
      <c r="H116" s="23">
        <f t="shared" si="21"/>
        <v>397121.00350910856</v>
      </c>
      <c r="I116" s="23">
        <f t="shared" si="22"/>
        <v>388285.55249649019</v>
      </c>
      <c r="J116" s="11">
        <f t="shared" si="6"/>
        <v>8835.4510126183741</v>
      </c>
      <c r="K116" s="21">
        <f t="shared" si="23"/>
        <v>1.2422199506118559E-2</v>
      </c>
      <c r="L116" s="27">
        <f t="shared" si="27"/>
        <v>34912.6019858129</v>
      </c>
      <c r="M116" s="17">
        <f t="shared" si="24"/>
        <v>519297.53670957423</v>
      </c>
      <c r="N116" s="17">
        <f t="shared" si="25"/>
        <v>512846.71910553199</v>
      </c>
      <c r="O116" s="17">
        <f t="shared" si="9"/>
        <v>6450.8176040422404</v>
      </c>
    </row>
    <row r="117" spans="2:19" x14ac:dyDescent="0.25">
      <c r="B117" s="1">
        <v>76</v>
      </c>
      <c r="C117" s="4"/>
      <c r="D117" s="4"/>
      <c r="E117" s="4"/>
      <c r="F117" s="25">
        <f t="shared" si="26"/>
        <v>25480.08962397082</v>
      </c>
      <c r="G117" s="13">
        <f t="shared" si="20"/>
        <v>2.2248762806663658E-2</v>
      </c>
      <c r="H117" s="23">
        <f t="shared" si="21"/>
        <v>377317.68138742016</v>
      </c>
      <c r="I117" s="23">
        <f t="shared" si="22"/>
        <v>368922.82979147119</v>
      </c>
      <c r="J117" s="11">
        <f t="shared" si="6"/>
        <v>8394.8515959489741</v>
      </c>
      <c r="K117" s="21">
        <f t="shared" si="23"/>
        <v>1.2422199506118559E-2</v>
      </c>
      <c r="L117" s="27">
        <f t="shared" si="27"/>
        <v>35959.980045387289</v>
      </c>
      <c r="M117" s="17">
        <f t="shared" si="24"/>
        <v>495962.20862255048</v>
      </c>
      <c r="N117" s="17">
        <f t="shared" si="25"/>
        <v>489801.26711954596</v>
      </c>
      <c r="O117" s="17">
        <f t="shared" si="9"/>
        <v>6160.9415030045202</v>
      </c>
    </row>
    <row r="118" spans="2:19" x14ac:dyDescent="0.25">
      <c r="B118" s="1">
        <v>77</v>
      </c>
      <c r="C118" s="4"/>
      <c r="D118" s="4"/>
      <c r="E118" s="4"/>
      <c r="F118" s="25">
        <f t="shared" si="26"/>
        <v>26244.492312689945</v>
      </c>
      <c r="G118" s="13">
        <f t="shared" si="20"/>
        <v>2.2248762806663658E-2</v>
      </c>
      <c r="H118" s="23">
        <f t="shared" si="21"/>
        <v>356385.47097793251</v>
      </c>
      <c r="I118" s="23">
        <f t="shared" si="22"/>
        <v>348456.33516640338</v>
      </c>
      <c r="J118" s="11">
        <f t="shared" si="6"/>
        <v>7929.1358115291223</v>
      </c>
      <c r="K118" s="21">
        <f t="shared" si="23"/>
        <v>1.2422199506118559E-2</v>
      </c>
      <c r="L118" s="27">
        <f t="shared" si="27"/>
        <v>37038.779446748908</v>
      </c>
      <c r="M118" s="17">
        <f t="shared" si="24"/>
        <v>470872.98717970896</v>
      </c>
      <c r="N118" s="17">
        <f t="shared" si="25"/>
        <v>465023.70899092063</v>
      </c>
      <c r="O118" s="17">
        <f t="shared" si="9"/>
        <v>5849.278188788332</v>
      </c>
    </row>
    <row r="119" spans="2:19" x14ac:dyDescent="0.25">
      <c r="B119" s="1">
        <v>78</v>
      </c>
      <c r="C119" s="4"/>
      <c r="D119" s="4"/>
      <c r="E119" s="4"/>
      <c r="F119" s="25">
        <f t="shared" si="26"/>
        <v>27031.827082070642</v>
      </c>
      <c r="G119" s="13">
        <f t="shared" si="20"/>
        <v>2.2248762806663658E-2</v>
      </c>
      <c r="H119" s="23">
        <f t="shared" si="21"/>
        <v>334281.48840770609</v>
      </c>
      <c r="I119" s="23">
        <f t="shared" si="22"/>
        <v>326844.13886146457</v>
      </c>
      <c r="J119" s="11">
        <f t="shared" si="6"/>
        <v>7437.3495462415158</v>
      </c>
      <c r="K119" s="21">
        <f t="shared" si="23"/>
        <v>1.2422199506118559E-2</v>
      </c>
      <c r="L119" s="27">
        <f t="shared" si="27"/>
        <v>38149.942830151376</v>
      </c>
      <c r="M119" s="17">
        <f t="shared" si="24"/>
        <v>443948.71680720005</v>
      </c>
      <c r="N119" s="17">
        <f t="shared" si="25"/>
        <v>438433.89727653569</v>
      </c>
      <c r="O119" s="17">
        <f t="shared" si="9"/>
        <v>5514.8195306643611</v>
      </c>
    </row>
    <row r="120" spans="2:19" x14ac:dyDescent="0.25">
      <c r="B120" s="1">
        <v>79</v>
      </c>
      <c r="C120" s="4"/>
      <c r="D120" s="4"/>
      <c r="E120" s="4"/>
      <c r="F120" s="25">
        <f t="shared" si="26"/>
        <v>27842.781894532764</v>
      </c>
      <c r="G120" s="13">
        <f t="shared" si="20"/>
        <v>2.2248762806663658E-2</v>
      </c>
      <c r="H120" s="23">
        <f t="shared" si="21"/>
        <v>310961.41124560905</v>
      </c>
      <c r="I120" s="23">
        <f t="shared" si="22"/>
        <v>304042.90456478012</v>
      </c>
      <c r="J120" s="11">
        <f t="shared" si="6"/>
        <v>6918.5066808289266</v>
      </c>
      <c r="K120" s="21">
        <f t="shared" si="23"/>
        <v>1.2422199506118559E-2</v>
      </c>
      <c r="L120" s="27">
        <f t="shared" si="27"/>
        <v>39294.441115055917</v>
      </c>
      <c r="M120" s="17">
        <f t="shared" si="24"/>
        <v>415105.03440793895</v>
      </c>
      <c r="N120" s="17">
        <f t="shared" si="25"/>
        <v>409948.51685452933</v>
      </c>
      <c r="O120" s="17">
        <f t="shared" si="9"/>
        <v>5156.5175534096197</v>
      </c>
    </row>
    <row r="121" spans="2:19" x14ac:dyDescent="0.25">
      <c r="B121" s="1">
        <v>80</v>
      </c>
      <c r="C121" s="4"/>
      <c r="D121" s="4"/>
      <c r="E121" s="4"/>
      <c r="F121" s="25">
        <f t="shared" si="26"/>
        <v>28678.065351368747</v>
      </c>
      <c r="G121" s="13">
        <f t="shared" si="20"/>
        <v>2.2248762806663658E-2</v>
      </c>
      <c r="H121" s="23">
        <f t="shared" si="21"/>
        <v>286379.43278194783</v>
      </c>
      <c r="I121" s="23">
        <f t="shared" si="22"/>
        <v>280007.84470927541</v>
      </c>
      <c r="J121" s="11">
        <f t="shared" si="6"/>
        <v>6371.5880726724281</v>
      </c>
      <c r="K121" s="21">
        <f t="shared" si="23"/>
        <v>1.2422199506118559E-2</v>
      </c>
      <c r="L121" s="27">
        <f t="shared" si="27"/>
        <v>40473.274348507599</v>
      </c>
      <c r="M121" s="17">
        <f t="shared" si="24"/>
        <v>384254.25220626261</v>
      </c>
      <c r="N121" s="17">
        <f t="shared" si="25"/>
        <v>379480.96922428202</v>
      </c>
      <c r="O121" s="17">
        <f t="shared" si="9"/>
        <v>4773.282981980592</v>
      </c>
    </row>
    <row r="122" spans="2:19" x14ac:dyDescent="0.25">
      <c r="B122" s="1">
        <v>81</v>
      </c>
      <c r="C122" s="4"/>
      <c r="D122" s="4"/>
      <c r="E122" s="4"/>
      <c r="F122" s="25">
        <f t="shared" si="26"/>
        <v>29538.40731190981</v>
      </c>
      <c r="G122" s="13">
        <f t="shared" si="20"/>
        <v>2.2248762806663658E-2</v>
      </c>
      <c r="H122" s="23">
        <f t="shared" si="21"/>
        <v>260488.21489326024</v>
      </c>
      <c r="I122" s="23">
        <f t="shared" si="22"/>
        <v>254692.67438616886</v>
      </c>
      <c r="J122" s="11">
        <f t="shared" si="6"/>
        <v>5795.5405070913839</v>
      </c>
      <c r="K122" s="21">
        <f t="shared" si="23"/>
        <v>1.2422199506118559E-2</v>
      </c>
      <c r="L122" s="27">
        <f t="shared" si="27"/>
        <v>41687.472578962828</v>
      </c>
      <c r="M122" s="17">
        <f t="shared" si="24"/>
        <v>351305.23651113192</v>
      </c>
      <c r="N122" s="17">
        <f t="shared" si="25"/>
        <v>346941.25277564646</v>
      </c>
      <c r="O122" s="17">
        <f t="shared" si="9"/>
        <v>4363.9837354854681</v>
      </c>
    </row>
    <row r="123" spans="2:19" x14ac:dyDescent="0.25">
      <c r="B123" s="1">
        <v>82</v>
      </c>
      <c r="C123" s="4"/>
      <c r="D123" s="4"/>
      <c r="E123" s="4"/>
      <c r="F123" s="25">
        <f t="shared" si="26"/>
        <v>30424.559531267107</v>
      </c>
      <c r="G123" s="13">
        <f t="shared" si="20"/>
        <v>2.2248762806663658E-2</v>
      </c>
      <c r="H123" s="23">
        <f t="shared" si="21"/>
        <v>233238.83944909781</v>
      </c>
      <c r="I123" s="23">
        <f t="shared" si="22"/>
        <v>228049.56383289333</v>
      </c>
      <c r="J123" s="11">
        <f t="shared" si="6"/>
        <v>5189.2756162044825</v>
      </c>
      <c r="K123" s="21">
        <f t="shared" si="23"/>
        <v>1.2422199506118559E-2</v>
      </c>
      <c r="L123" s="27">
        <f t="shared" si="27"/>
        <v>42938.096756331717</v>
      </c>
      <c r="M123" s="17">
        <f t="shared" si="24"/>
        <v>316163.28226008732</v>
      </c>
      <c r="N123" s="17">
        <f t="shared" si="25"/>
        <v>312235.83889134321</v>
      </c>
      <c r="O123" s="17">
        <f t="shared" si="9"/>
        <v>3927.4433687441051</v>
      </c>
    </row>
    <row r="124" spans="2:19" x14ac:dyDescent="0.25">
      <c r="B124" s="1">
        <v>83</v>
      </c>
      <c r="C124" s="4"/>
      <c r="D124" s="4"/>
      <c r="E124" s="4"/>
      <c r="F124" s="25">
        <f t="shared" si="26"/>
        <v>31337.29631720512</v>
      </c>
      <c r="G124" s="13">
        <f t="shared" si="20"/>
        <v>2.2248762806663658E-2</v>
      </c>
      <c r="H124" s="23">
        <f t="shared" si="21"/>
        <v>204580.75821631573</v>
      </c>
      <c r="I124" s="23">
        <f t="shared" si="22"/>
        <v>200029.08945195351</v>
      </c>
      <c r="J124" s="11">
        <f t="shared" si="6"/>
        <v>4551.6687643622281</v>
      </c>
      <c r="K124" s="21">
        <f t="shared" si="23"/>
        <v>1.2422199506118559E-2</v>
      </c>
      <c r="L124" s="27">
        <f t="shared" si="27"/>
        <v>44226.239659021667</v>
      </c>
      <c r="M124" s="17">
        <f t="shared" si="24"/>
        <v>278729.98320161441</v>
      </c>
      <c r="N124" s="17">
        <f t="shared" si="25"/>
        <v>275267.54374194687</v>
      </c>
      <c r="O124" s="17">
        <f t="shared" si="9"/>
        <v>3462.4394596675411</v>
      </c>
    </row>
    <row r="125" spans="2:19" x14ac:dyDescent="0.25">
      <c r="B125" s="1">
        <v>84</v>
      </c>
      <c r="C125" s="4"/>
      <c r="D125" s="4"/>
      <c r="E125" s="4"/>
      <c r="F125" s="25">
        <f t="shared" si="26"/>
        <v>32277.415206721274</v>
      </c>
      <c r="G125" s="13">
        <f t="shared" si="20"/>
        <v>2.2248762806663658E-2</v>
      </c>
      <c r="H125" s="23">
        <f t="shared" si="21"/>
        <v>174461.74121504152</v>
      </c>
      <c r="I125" s="23">
        <f t="shared" si="22"/>
        <v>170580.18331591052</v>
      </c>
      <c r="J125" s="11">
        <f t="shared" si="6"/>
        <v>3881.5578991310031</v>
      </c>
      <c r="K125" s="21">
        <f t="shared" si="23"/>
        <v>1.2422199506118559E-2</v>
      </c>
      <c r="L125" s="27">
        <f t="shared" si="27"/>
        <v>45553.026848792317</v>
      </c>
      <c r="M125" s="17">
        <f t="shared" si="24"/>
        <v>238903.09756888074</v>
      </c>
      <c r="N125" s="17">
        <f t="shared" si="25"/>
        <v>235935.39562825041</v>
      </c>
      <c r="O125" s="17">
        <f t="shared" si="9"/>
        <v>2967.7019406303298</v>
      </c>
    </row>
    <row r="126" spans="2:19" x14ac:dyDescent="0.25">
      <c r="B126" s="1">
        <v>85</v>
      </c>
      <c r="C126" s="4"/>
      <c r="D126" s="4"/>
      <c r="E126" s="4"/>
      <c r="F126" s="25">
        <f t="shared" si="26"/>
        <v>33245.737662922911</v>
      </c>
      <c r="G126" s="13">
        <f t="shared" si="20"/>
        <v>2.2248762806663658E-2</v>
      </c>
      <c r="H126" s="23">
        <f t="shared" si="21"/>
        <v>142827.82347910712</v>
      </c>
      <c r="I126" s="23">
        <f t="shared" si="22"/>
        <v>139650.08111232842</v>
      </c>
      <c r="J126" s="11">
        <f t="shared" si="6"/>
        <v>3177.7423667786934</v>
      </c>
      <c r="K126" s="21">
        <f t="shared" si="23"/>
        <v>1.2422199506118559E-2</v>
      </c>
      <c r="L126" s="27">
        <f t="shared" si="27"/>
        <v>46919.617654256086</v>
      </c>
      <c r="M126" s="17">
        <f t="shared" si="24"/>
        <v>196576.4090929541</v>
      </c>
      <c r="N126" s="17">
        <f t="shared" si="25"/>
        <v>194134.49772100506</v>
      </c>
      <c r="O126" s="17">
        <f t="shared" si="9"/>
        <v>2441.9113719490415</v>
      </c>
      <c r="R126" s="39"/>
      <c r="S126" s="39"/>
    </row>
    <row r="127" spans="2:19" x14ac:dyDescent="0.25">
      <c r="B127" s="1">
        <v>86</v>
      </c>
      <c r="C127" s="4"/>
      <c r="D127" s="4"/>
      <c r="E127" s="4"/>
      <c r="F127" s="25">
        <f t="shared" si="26"/>
        <v>34243.109792810603</v>
      </c>
      <c r="G127" s="13">
        <f t="shared" si="20"/>
        <v>2.2248762806663658E-2</v>
      </c>
      <c r="H127" s="23">
        <f t="shared" si="21"/>
        <v>109623.25017229853</v>
      </c>
      <c r="I127" s="23">
        <f t="shared" si="22"/>
        <v>107184.26848111951</v>
      </c>
      <c r="J127" s="11">
        <f t="shared" si="6"/>
        <v>2438.9816911790258</v>
      </c>
      <c r="K127" s="21">
        <f t="shared" si="23"/>
        <v>1.2422199506118559E-2</v>
      </c>
      <c r="L127" s="27">
        <f t="shared" si="27"/>
        <v>48327.206183883769</v>
      </c>
      <c r="M127" s="17">
        <f t="shared" si="24"/>
        <v>151639.58319860615</v>
      </c>
      <c r="N127" s="17">
        <f t="shared" si="25"/>
        <v>149755.88604308839</v>
      </c>
      <c r="O127" s="17">
        <f t="shared" si="9"/>
        <v>1883.6971555177588</v>
      </c>
      <c r="R127" s="39"/>
      <c r="S127" s="39"/>
    </row>
    <row r="128" spans="2:19" x14ac:dyDescent="0.25">
      <c r="B128" s="1">
        <v>87</v>
      </c>
      <c r="C128" s="4"/>
      <c r="D128" s="4"/>
      <c r="E128" s="4"/>
      <c r="F128" s="25">
        <f t="shared" si="26"/>
        <v>35270.403086594924</v>
      </c>
      <c r="G128" s="13">
        <f t="shared" si="20"/>
        <v>2.2248762806663658E-2</v>
      </c>
      <c r="H128" s="23">
        <f t="shared" si="21"/>
        <v>74790.420010305577</v>
      </c>
      <c r="I128" s="23">
        <f t="shared" si="22"/>
        <v>73126.425695285536</v>
      </c>
      <c r="J128" s="11">
        <f t="shared" si="6"/>
        <v>1663.9943150200415</v>
      </c>
      <c r="K128" s="21">
        <f t="shared" si="23"/>
        <v>1.2422199506118559E-2</v>
      </c>
      <c r="L128" s="27">
        <f t="shared" si="27"/>
        <v>49777.022369400285</v>
      </c>
      <c r="M128" s="17">
        <f t="shared" si="24"/>
        <v>103978.01822063564</v>
      </c>
      <c r="N128" s="17">
        <f t="shared" si="25"/>
        <v>102686.38253404807</v>
      </c>
      <c r="O128" s="17">
        <f t="shared" si="9"/>
        <v>1291.6356865875714</v>
      </c>
      <c r="R128" s="39"/>
      <c r="S128" s="39"/>
    </row>
    <row r="129" spans="1:15" x14ac:dyDescent="0.25">
      <c r="B129" s="1">
        <v>88</v>
      </c>
      <c r="C129" s="4"/>
      <c r="D129" s="4"/>
      <c r="E129" s="4"/>
      <c r="F129" s="25">
        <f t="shared" si="26"/>
        <v>36328.515179192771</v>
      </c>
      <c r="G129" s="13">
        <f t="shared" si="20"/>
        <v>2.2248762806663658E-2</v>
      </c>
      <c r="H129" s="23">
        <f t="shared" si="21"/>
        <v>38269.826936736477</v>
      </c>
      <c r="I129" s="23">
        <f t="shared" si="22"/>
        <v>37418.370634568957</v>
      </c>
      <c r="J129" s="11">
        <f t="shared" si="6"/>
        <v>851.45630216752033</v>
      </c>
      <c r="K129" s="21">
        <f t="shared" si="23"/>
        <v>1.2422199506118559E-2</v>
      </c>
      <c r="L129" s="27">
        <f t="shared" si="27"/>
        <v>51270.333040482292</v>
      </c>
      <c r="M129" s="17">
        <f t="shared" si="24"/>
        <v>53472.691473308412</v>
      </c>
      <c r="N129" s="17">
        <f t="shared" si="25"/>
        <v>52808.443031697847</v>
      </c>
      <c r="O129" s="17">
        <f t="shared" si="9"/>
        <v>664.24844161056535</v>
      </c>
    </row>
    <row r="130" spans="1:15" x14ac:dyDescent="0.25">
      <c r="B130" s="1">
        <v>89</v>
      </c>
      <c r="C130" s="4"/>
      <c r="D130" s="4"/>
      <c r="E130" s="4"/>
      <c r="F130" s="25">
        <f t="shared" si="26"/>
        <v>37418.370634568557</v>
      </c>
      <c r="G130" s="13">
        <f t="shared" si="20"/>
        <v>2.2248762806663658E-2</v>
      </c>
      <c r="H130" s="23">
        <f t="shared" si="21"/>
        <v>4.1618477553129198E-10</v>
      </c>
      <c r="I130" s="23">
        <f t="shared" si="22"/>
        <v>4.0692517917675169E-10</v>
      </c>
      <c r="J130" s="11">
        <f t="shared" si="6"/>
        <v>9.2595963545402879E-12</v>
      </c>
      <c r="K130" s="21">
        <f t="shared" si="23"/>
        <v>1.2422199506118559E-2</v>
      </c>
      <c r="L130" s="27">
        <f t="shared" si="27"/>
        <v>52808.443031696763</v>
      </c>
      <c r="M130" s="17">
        <f t="shared" si="24"/>
        <v>1.1274823918938637E-9</v>
      </c>
      <c r="N130" s="17">
        <f t="shared" si="25"/>
        <v>1.1134765806821223E-9</v>
      </c>
      <c r="O130" s="17">
        <f t="shared" si="9"/>
        <v>1.4005811211741413E-11</v>
      </c>
    </row>
    <row r="131" spans="1:15" x14ac:dyDescent="0.25">
      <c r="B131" s="1" t="s">
        <v>40</v>
      </c>
      <c r="C131" s="28"/>
      <c r="D131" s="28"/>
      <c r="E131" s="28"/>
      <c r="F131" s="29"/>
      <c r="G131" s="30"/>
      <c r="H131" s="31"/>
      <c r="I131" s="31"/>
      <c r="J131" s="32"/>
      <c r="K131" s="30"/>
      <c r="L131" s="33"/>
      <c r="M131" s="32"/>
      <c r="N131" s="32"/>
      <c r="O131" s="32"/>
    </row>
    <row r="132" spans="1:15" s="28" customFormat="1" x14ac:dyDescent="0.25">
      <c r="A132" s="3"/>
      <c r="B132" s="2"/>
      <c r="E132" s="38"/>
      <c r="F132" s="29"/>
      <c r="G132" s="30"/>
      <c r="H132" s="31"/>
      <c r="I132" s="31"/>
      <c r="J132" s="32"/>
      <c r="K132" s="30"/>
      <c r="L132" s="33"/>
      <c r="M132" s="32"/>
      <c r="N132" s="32"/>
      <c r="O132" s="32"/>
    </row>
    <row r="133" spans="1:15" s="28" customFormat="1" x14ac:dyDescent="0.25">
      <c r="A133" s="3"/>
      <c r="B133" s="2"/>
      <c r="F133" s="29"/>
      <c r="G133" s="30"/>
      <c r="H133" s="31"/>
      <c r="I133" s="31"/>
      <c r="J133" s="32"/>
      <c r="K133" s="30"/>
      <c r="L133" s="33"/>
      <c r="M133" s="32"/>
      <c r="N133" s="32"/>
      <c r="O133" s="32"/>
    </row>
    <row r="134" spans="1:15" ht="23.25" x14ac:dyDescent="0.35">
      <c r="B134" s="37" t="s">
        <v>23</v>
      </c>
    </row>
    <row r="135" spans="1:15" x14ac:dyDescent="0.25">
      <c r="B135" s="5" t="s">
        <v>9</v>
      </c>
      <c r="C135" s="10" t="s">
        <v>0</v>
      </c>
      <c r="D135" s="10" t="s">
        <v>11</v>
      </c>
      <c r="E135" s="10" t="s">
        <v>12</v>
      </c>
      <c r="F135" s="10" t="s">
        <v>21</v>
      </c>
      <c r="G135" s="10" t="s">
        <v>19</v>
      </c>
      <c r="H135" s="10" t="s">
        <v>13</v>
      </c>
      <c r="I135" s="10" t="s">
        <v>14</v>
      </c>
      <c r="J135" s="10" t="s">
        <v>15</v>
      </c>
      <c r="K135" s="16" t="s">
        <v>20</v>
      </c>
      <c r="L135" s="16" t="s">
        <v>22</v>
      </c>
      <c r="M135" s="16" t="s">
        <v>16</v>
      </c>
      <c r="N135" s="16" t="s">
        <v>17</v>
      </c>
      <c r="O135" s="16" t="s">
        <v>18</v>
      </c>
    </row>
    <row r="136" spans="1:15" x14ac:dyDescent="0.25">
      <c r="B136" s="1">
        <v>25</v>
      </c>
      <c r="C136" s="6">
        <f t="shared" ref="C136:C155" si="28">incomegrowthrate1</f>
        <v>0.05</v>
      </c>
      <c r="D136" s="11">
        <f>startingincome</f>
        <v>25000</v>
      </c>
      <c r="E136" s="14">
        <f t="shared" ref="E136:E155" si="29">D136*savingsrate1</f>
        <v>2500</v>
      </c>
      <c r="F136" s="4"/>
      <c r="G136" s="6">
        <f t="shared" ref="G136:G155" si="30">1-EXP(-costportfolioA1)</f>
        <v>2.2248762806663658E-2</v>
      </c>
      <c r="H136" s="11">
        <f>E136*(1+benchmarkgrowthrate1)/(1+inflationrate1)</f>
        <v>2673.2673267326732</v>
      </c>
      <c r="I136" s="11">
        <f>E136*(1+benchmarkgrowthrate1)*(1-ccca1)/(1+inflationrate1)</f>
        <v>2613.7904360613943</v>
      </c>
      <c r="J136" s="11">
        <f>H136-I136</f>
        <v>59.476890671278852</v>
      </c>
      <c r="K136" s="19">
        <f t="shared" ref="K136:K155" si="31">1-EXP(-costportfolioB1)</f>
        <v>1.2422199506118559E-2</v>
      </c>
      <c r="L136" s="4"/>
      <c r="M136" s="17">
        <f>E136*(1+benchmarkgrowthrate1)/(1+inflationrate1)</f>
        <v>2673.2673267326732</v>
      </c>
      <c r="N136" s="17">
        <f>E136*(1+benchmarkgrowthrate1)*(1-cccb1)/(1+inflationrate1)</f>
        <v>2640.0594666668121</v>
      </c>
      <c r="O136" s="17">
        <f>M136-N136</f>
        <v>33.207860065861041</v>
      </c>
    </row>
    <row r="137" spans="1:15" x14ac:dyDescent="0.25">
      <c r="B137" s="1">
        <v>26</v>
      </c>
      <c r="C137" s="6">
        <f t="shared" si="28"/>
        <v>0.05</v>
      </c>
      <c r="D137" s="11">
        <f t="shared" ref="D137:D156" si="32">D136*(1+incomegrowthrate1)/(1+inflationrate1)</f>
        <v>25990.09900990099</v>
      </c>
      <c r="E137" s="14">
        <f t="shared" si="29"/>
        <v>2599.0099009900991</v>
      </c>
      <c r="F137" s="4"/>
      <c r="G137" s="6">
        <f t="shared" si="30"/>
        <v>2.2248762806663658E-2</v>
      </c>
      <c r="H137" s="11">
        <f t="shared" ref="H137:H155" si="33">(I136+E137)*(1+benchmarkgrowthrate1)/(1+inflationrate1)</f>
        <v>5574.0835287283298</v>
      </c>
      <c r="I137" s="11">
        <f t="shared" ref="I137:I155" si="34">(I136+E137)*(1+benchmarkgrowthrate1)*(1-ccca1)/(1+inflationrate1)</f>
        <v>5450.0670664331219</v>
      </c>
      <c r="J137" s="11">
        <f t="shared" ref="J137:J200" si="35">H137-I137</f>
        <v>124.01646229520793</v>
      </c>
      <c r="K137" s="19">
        <f t="shared" si="31"/>
        <v>1.2422199506118559E-2</v>
      </c>
      <c r="L137" s="4"/>
      <c r="M137" s="17">
        <f t="shared" ref="M137:M155" si="36">(N136+E137)*(1+benchmarkgrowthrate1)/(1+inflationrate1)</f>
        <v>5602.1731852172925</v>
      </c>
      <c r="N137" s="17">
        <f t="shared" ref="N137:N155" si="37">(N136+E137)*(1+benchmarkgrowthrate1)*(1-cccb1)/(1+inflationrate1)</f>
        <v>5532.5818722426948</v>
      </c>
      <c r="O137" s="17">
        <f t="shared" ref="O137:O200" si="38">M137-N137</f>
        <v>69.591312974597713</v>
      </c>
    </row>
    <row r="138" spans="1:15" x14ac:dyDescent="0.25">
      <c r="B138" s="1">
        <v>27</v>
      </c>
      <c r="C138" s="6">
        <f t="shared" si="28"/>
        <v>0.05</v>
      </c>
      <c r="D138" s="11">
        <f t="shared" si="32"/>
        <v>27019.409861778258</v>
      </c>
      <c r="E138" s="14">
        <f t="shared" si="29"/>
        <v>2701.9409861778258</v>
      </c>
      <c r="F138" s="4"/>
      <c r="G138" s="6">
        <f t="shared" si="30"/>
        <v>2.2248762806663658E-2</v>
      </c>
      <c r="H138" s="11">
        <f t="shared" si="33"/>
        <v>8716.9987097225985</v>
      </c>
      <c r="I138" s="11">
        <f t="shared" si="34"/>
        <v>8523.0562730439869</v>
      </c>
      <c r="J138" s="11">
        <f t="shared" si="35"/>
        <v>193.94243667861156</v>
      </c>
      <c r="K138" s="19">
        <f t="shared" si="31"/>
        <v>1.2422199506118559E-2</v>
      </c>
      <c r="L138" s="4"/>
      <c r="M138" s="17">
        <f t="shared" si="36"/>
        <v>8805.2323634595668</v>
      </c>
      <c r="N138" s="17">
        <f t="shared" si="37"/>
        <v>8695.85201034294</v>
      </c>
      <c r="O138" s="17">
        <f t="shared" si="38"/>
        <v>109.38035311662679</v>
      </c>
    </row>
    <row r="139" spans="1:15" x14ac:dyDescent="0.25">
      <c r="B139" s="1">
        <v>28</v>
      </c>
      <c r="C139" s="6">
        <f t="shared" si="28"/>
        <v>0.05</v>
      </c>
      <c r="D139" s="11">
        <f t="shared" si="32"/>
        <v>28089.485499868486</v>
      </c>
      <c r="E139" s="14">
        <f t="shared" si="29"/>
        <v>2808.9485499868488</v>
      </c>
      <c r="F139" s="4"/>
      <c r="G139" s="6">
        <f t="shared" si="30"/>
        <v>2.2248762806663658E-2</v>
      </c>
      <c r="H139" s="11">
        <f t="shared" si="33"/>
        <v>12117.39129591416</v>
      </c>
      <c r="I139" s="11">
        <f t="shared" si="34"/>
        <v>11847.794331135836</v>
      </c>
      <c r="J139" s="11">
        <f t="shared" si="35"/>
        <v>269.59696477832404</v>
      </c>
      <c r="K139" s="19">
        <f t="shared" si="31"/>
        <v>1.2422199506118559E-2</v>
      </c>
      <c r="L139" s="4"/>
      <c r="M139" s="17">
        <f t="shared" si="36"/>
        <v>12302.162975402152</v>
      </c>
      <c r="N139" s="17">
        <f t="shared" si="37"/>
        <v>12149.34305256492</v>
      </c>
      <c r="O139" s="17">
        <f t="shared" si="38"/>
        <v>152.8199228372323</v>
      </c>
    </row>
    <row r="140" spans="1:15" x14ac:dyDescent="0.25">
      <c r="B140" s="1">
        <v>29</v>
      </c>
      <c r="C140" s="6">
        <f t="shared" si="28"/>
        <v>0.05</v>
      </c>
      <c r="D140" s="11">
        <f t="shared" si="32"/>
        <v>29201.940371150409</v>
      </c>
      <c r="E140" s="14">
        <f t="shared" si="29"/>
        <v>2920.1940371150413</v>
      </c>
      <c r="F140" s="4"/>
      <c r="G140" s="6">
        <f t="shared" si="30"/>
        <v>2.2248762806663658E-2</v>
      </c>
      <c r="H140" s="11">
        <f t="shared" si="33"/>
        <v>15791.512314565296</v>
      </c>
      <c r="I140" s="11">
        <f t="shared" si="34"/>
        <v>15440.170702720025</v>
      </c>
      <c r="J140" s="11">
        <f t="shared" si="35"/>
        <v>351.34161184527147</v>
      </c>
      <c r="K140" s="19">
        <f t="shared" si="31"/>
        <v>1.2422199506118559E-2</v>
      </c>
      <c r="L140" s="4"/>
      <c r="M140" s="17">
        <f t="shared" si="36"/>
        <v>16113.960452331048</v>
      </c>
      <c r="N140" s="17">
        <f t="shared" si="37"/>
        <v>15913.789620758487</v>
      </c>
      <c r="O140" s="17">
        <f t="shared" si="38"/>
        <v>200.17083157256093</v>
      </c>
    </row>
    <row r="141" spans="1:15" x14ac:dyDescent="0.25">
      <c r="B141" s="1">
        <v>30</v>
      </c>
      <c r="C141" s="6">
        <f t="shared" si="28"/>
        <v>0.05</v>
      </c>
      <c r="D141" s="11">
        <f t="shared" si="32"/>
        <v>30358.452861096961</v>
      </c>
      <c r="E141" s="14">
        <f t="shared" si="29"/>
        <v>3035.8452861096962</v>
      </c>
      <c r="F141" s="4"/>
      <c r="G141" s="6">
        <f t="shared" si="30"/>
        <v>2.2248762806663658E-2</v>
      </c>
      <c r="H141" s="11">
        <f t="shared" si="33"/>
        <v>19756.531948451586</v>
      </c>
      <c r="I141" s="11">
        <f t="shared" si="34"/>
        <v>19316.973555248213</v>
      </c>
      <c r="J141" s="11">
        <f t="shared" si="35"/>
        <v>439.55839320337327</v>
      </c>
      <c r="K141" s="19">
        <f t="shared" si="31"/>
        <v>1.2422199506118559E-2</v>
      </c>
      <c r="L141" s="4"/>
      <c r="M141" s="17">
        <f t="shared" si="36"/>
        <v>20262.975940017466</v>
      </c>
      <c r="N141" s="17">
        <f t="shared" si="37"/>
        <v>20011.265210302889</v>
      </c>
      <c r="O141" s="17">
        <f t="shared" si="38"/>
        <v>251.71072971457761</v>
      </c>
    </row>
    <row r="142" spans="1:15" x14ac:dyDescent="0.25">
      <c r="B142" s="1">
        <v>31</v>
      </c>
      <c r="C142" s="6">
        <f t="shared" si="28"/>
        <v>0.05</v>
      </c>
      <c r="D142" s="11">
        <f t="shared" si="32"/>
        <v>31560.767825892879</v>
      </c>
      <c r="E142" s="14">
        <f t="shared" si="29"/>
        <v>3156.0767825892881</v>
      </c>
      <c r="F142" s="4"/>
      <c r="G142" s="6">
        <f t="shared" si="30"/>
        <v>2.2248762806663658E-2</v>
      </c>
      <c r="H142" s="11">
        <f t="shared" si="33"/>
        <v>24030.58848006386</v>
      </c>
      <c r="I142" s="11">
        <f t="shared" si="34"/>
        <v>23495.937616866377</v>
      </c>
      <c r="J142" s="11">
        <f t="shared" si="35"/>
        <v>534.65086319748298</v>
      </c>
      <c r="K142" s="19">
        <f t="shared" si="31"/>
        <v>1.2422199506118559E-2</v>
      </c>
      <c r="L142" s="4"/>
      <c r="M142" s="17">
        <f t="shared" si="36"/>
        <v>24772.99935873619</v>
      </c>
      <c r="N142" s="17">
        <f t="shared" si="37"/>
        <v>24465.264218337023</v>
      </c>
      <c r="O142" s="17">
        <f t="shared" si="38"/>
        <v>307.73514039916699</v>
      </c>
    </row>
    <row r="143" spans="1:15" x14ac:dyDescent="0.25">
      <c r="B143" s="1">
        <v>32</v>
      </c>
      <c r="C143" s="6">
        <f t="shared" si="28"/>
        <v>0.05</v>
      </c>
      <c r="D143" s="11">
        <f t="shared" si="32"/>
        <v>32810.699224938136</v>
      </c>
      <c r="E143" s="14">
        <f t="shared" si="29"/>
        <v>3281.0699224938139</v>
      </c>
      <c r="F143" s="4"/>
      <c r="G143" s="6">
        <f t="shared" si="30"/>
        <v>2.2248762806663658E-2</v>
      </c>
      <c r="H143" s="11">
        <f t="shared" si="33"/>
        <v>28632.839745058423</v>
      </c>
      <c r="I143" s="11">
        <f t="shared" si="34"/>
        <v>27995.794485089405</v>
      </c>
      <c r="J143" s="11">
        <f t="shared" si="35"/>
        <v>637.04525996901793</v>
      </c>
      <c r="K143" s="19">
        <f t="shared" si="31"/>
        <v>1.2422199506118559E-2</v>
      </c>
      <c r="L143" s="4"/>
      <c r="M143" s="17">
        <f t="shared" si="36"/>
        <v>29669.347398116144</v>
      </c>
      <c r="N143" s="17">
        <f t="shared" si="37"/>
        <v>29300.788845520405</v>
      </c>
      <c r="O143" s="17">
        <f t="shared" si="38"/>
        <v>368.55855259573946</v>
      </c>
    </row>
    <row r="144" spans="1:15" x14ac:dyDescent="0.25">
      <c r="B144" s="1">
        <v>33</v>
      </c>
      <c r="C144" s="6">
        <f t="shared" si="28"/>
        <v>0.05</v>
      </c>
      <c r="D144" s="11">
        <f t="shared" si="32"/>
        <v>34110.132857608951</v>
      </c>
      <c r="E144" s="14">
        <f t="shared" si="29"/>
        <v>3411.0132857608951</v>
      </c>
      <c r="F144" s="4"/>
      <c r="G144" s="6">
        <f t="shared" si="30"/>
        <v>2.2248762806663658E-2</v>
      </c>
      <c r="H144" s="11">
        <f t="shared" si="33"/>
        <v>33583.517220315174</v>
      </c>
      <c r="I144" s="11">
        <f t="shared" si="34"/>
        <v>32836.325511466879</v>
      </c>
      <c r="J144" s="11">
        <f t="shared" si="35"/>
        <v>747.19170884829509</v>
      </c>
      <c r="K144" s="19">
        <f t="shared" si="31"/>
        <v>1.2422199506118559E-2</v>
      </c>
      <c r="L144" s="4"/>
      <c r="M144" s="17">
        <f t="shared" si="36"/>
        <v>34978.956734439416</v>
      </c>
      <c r="N144" s="17">
        <f t="shared" si="37"/>
        <v>34544.441155368317</v>
      </c>
      <c r="O144" s="17">
        <f t="shared" si="38"/>
        <v>434.51557907109964</v>
      </c>
    </row>
    <row r="145" spans="2:15" x14ac:dyDescent="0.25">
      <c r="B145" s="1">
        <v>34</v>
      </c>
      <c r="C145" s="6">
        <f t="shared" si="28"/>
        <v>0.05</v>
      </c>
      <c r="D145" s="11">
        <f t="shared" si="32"/>
        <v>35461.029208405344</v>
      </c>
      <c r="E145" s="14">
        <f t="shared" si="29"/>
        <v>3546.1029208405344</v>
      </c>
      <c r="F145" s="4"/>
      <c r="G145" s="6">
        <f t="shared" si="30"/>
        <v>2.2248762806663658E-2</v>
      </c>
      <c r="H145" s="11">
        <f t="shared" si="33"/>
        <v>38903.982878110895</v>
      </c>
      <c r="I145" s="11">
        <f t="shared" si="34"/>
        <v>38038.417390821305</v>
      </c>
      <c r="J145" s="11">
        <f t="shared" si="35"/>
        <v>865.56548728959024</v>
      </c>
      <c r="K145" s="19">
        <f t="shared" si="31"/>
        <v>1.2422199506118559E-2</v>
      </c>
      <c r="L145" s="4"/>
      <c r="M145" s="17">
        <f t="shared" si="36"/>
        <v>40730.482774559969</v>
      </c>
      <c r="N145" s="17">
        <f t="shared" si="37"/>
        <v>40224.520591553854</v>
      </c>
      <c r="O145" s="17">
        <f t="shared" si="38"/>
        <v>505.96218300611508</v>
      </c>
    </row>
    <row r="146" spans="2:15" x14ac:dyDescent="0.25">
      <c r="B146" s="1">
        <v>35</v>
      </c>
      <c r="C146" s="6">
        <f t="shared" si="28"/>
        <v>0.05</v>
      </c>
      <c r="D146" s="11">
        <f t="shared" si="32"/>
        <v>36865.426404777834</v>
      </c>
      <c r="E146" s="14">
        <f t="shared" si="29"/>
        <v>3686.5426404777836</v>
      </c>
      <c r="F146" s="4"/>
      <c r="G146" s="6">
        <f t="shared" si="30"/>
        <v>2.2248762806663658E-2</v>
      </c>
      <c r="H146" s="11">
        <f t="shared" si="33"/>
        <v>44616.788944359418</v>
      </c>
      <c r="I146" s="11">
        <f t="shared" si="34"/>
        <v>43624.120589941391</v>
      </c>
      <c r="J146" s="11">
        <f t="shared" si="35"/>
        <v>992.66835441802687</v>
      </c>
      <c r="K146" s="19">
        <f t="shared" si="31"/>
        <v>1.2422199506118559E-2</v>
      </c>
      <c r="L146" s="4"/>
      <c r="M146" s="17">
        <f t="shared" si="36"/>
        <v>46954.404248113038</v>
      </c>
      <c r="N146" s="17">
        <f t="shared" si="37"/>
        <v>46371.127270852041</v>
      </c>
      <c r="O146" s="17">
        <f t="shared" si="38"/>
        <v>583.27697726099723</v>
      </c>
    </row>
    <row r="147" spans="2:15" x14ac:dyDescent="0.25">
      <c r="B147" s="1">
        <v>36</v>
      </c>
      <c r="C147" s="6">
        <f t="shared" si="28"/>
        <v>0.05</v>
      </c>
      <c r="D147" s="11">
        <f t="shared" si="32"/>
        <v>38325.44329209577</v>
      </c>
      <c r="E147" s="14">
        <f t="shared" si="29"/>
        <v>3832.544329209577</v>
      </c>
      <c r="F147" s="4"/>
      <c r="G147" s="6">
        <f t="shared" si="30"/>
        <v>2.2248762806663658E-2</v>
      </c>
      <c r="H147" s="11">
        <f t="shared" si="33"/>
        <v>50745.740705626777</v>
      </c>
      <c r="I147" s="11">
        <f t="shared" si="34"/>
        <v>49616.710757218825</v>
      </c>
      <c r="J147" s="11">
        <f t="shared" si="35"/>
        <v>1129.0299484079515</v>
      </c>
      <c r="K147" s="19">
        <f t="shared" si="31"/>
        <v>1.2422199506118559E-2</v>
      </c>
      <c r="L147" s="4"/>
      <c r="M147" s="17">
        <f t="shared" si="36"/>
        <v>53683.133988184694</v>
      </c>
      <c r="N147" s="17">
        <f t="shared" si="37"/>
        <v>53016.271387669774</v>
      </c>
      <c r="O147" s="17">
        <f t="shared" si="38"/>
        <v>666.8626005149199</v>
      </c>
    </row>
    <row r="148" spans="2:15" x14ac:dyDescent="0.25">
      <c r="B148" s="1">
        <v>37</v>
      </c>
      <c r="C148" s="6">
        <f t="shared" si="28"/>
        <v>0.05</v>
      </c>
      <c r="D148" s="11">
        <f t="shared" si="32"/>
        <v>39843.282630396592</v>
      </c>
      <c r="E148" s="14">
        <f t="shared" si="29"/>
        <v>3984.3282630396593</v>
      </c>
      <c r="F148" s="4"/>
      <c r="G148" s="6">
        <f t="shared" si="30"/>
        <v>2.2248762806663658E-2</v>
      </c>
      <c r="H148" s="11">
        <f t="shared" si="33"/>
        <v>57315.962516712039</v>
      </c>
      <c r="I148" s="11">
        <f t="shared" si="34"/>
        <v>56040.753261642087</v>
      </c>
      <c r="J148" s="11">
        <f t="shared" si="35"/>
        <v>1275.2092550699526</v>
      </c>
      <c r="K148" s="19">
        <f t="shared" si="31"/>
        <v>1.2422199506118559E-2</v>
      </c>
      <c r="L148" s="4"/>
      <c r="M148" s="17">
        <f t="shared" si="36"/>
        <v>60951.136260164545</v>
      </c>
      <c r="N148" s="17">
        <f t="shared" si="37"/>
        <v>60193.989085416164</v>
      </c>
      <c r="O148" s="17">
        <f t="shared" si="38"/>
        <v>757.14717474838108</v>
      </c>
    </row>
    <row r="149" spans="2:15" x14ac:dyDescent="0.25">
      <c r="B149" s="1">
        <v>38</v>
      </c>
      <c r="C149" s="6">
        <f t="shared" si="28"/>
        <v>0.05</v>
      </c>
      <c r="D149" s="11">
        <f t="shared" si="32"/>
        <v>41421.234417739033</v>
      </c>
      <c r="E149" s="14">
        <f t="shared" si="29"/>
        <v>4142.1234417739033</v>
      </c>
      <c r="F149" s="4"/>
      <c r="G149" s="6">
        <f t="shared" si="30"/>
        <v>2.2248762806663658E-2</v>
      </c>
      <c r="H149" s="11">
        <f t="shared" si="33"/>
        <v>64353.967168009185</v>
      </c>
      <c r="I149" s="11">
        <f t="shared" si="34"/>
        <v>62922.171016820328</v>
      </c>
      <c r="J149" s="11">
        <f t="shared" si="35"/>
        <v>1431.796151188857</v>
      </c>
      <c r="K149" s="19">
        <f t="shared" si="31"/>
        <v>1.2422199506118559E-2</v>
      </c>
      <c r="L149" s="4"/>
      <c r="M149" s="17">
        <f t="shared" si="36"/>
        <v>68795.051019173552</v>
      </c>
      <c r="N149" s="17">
        <f t="shared" si="37"/>
        <v>67940.465170379772</v>
      </c>
      <c r="O149" s="17">
        <f t="shared" si="38"/>
        <v>854.58584879378031</v>
      </c>
    </row>
    <row r="150" spans="2:15" x14ac:dyDescent="0.25">
      <c r="B150" s="1">
        <v>39</v>
      </c>
      <c r="C150" s="6">
        <f t="shared" si="28"/>
        <v>0.05</v>
      </c>
      <c r="D150" s="11">
        <f t="shared" si="32"/>
        <v>43061.679345174241</v>
      </c>
      <c r="E150" s="14">
        <f t="shared" si="29"/>
        <v>4306.1679345174243</v>
      </c>
      <c r="F150" s="4"/>
      <c r="G150" s="6">
        <f t="shared" si="30"/>
        <v>2.2248762806663658E-2</v>
      </c>
      <c r="H150" s="11">
        <f t="shared" si="33"/>
        <v>71887.728779648285</v>
      </c>
      <c r="I150" s="11">
        <f t="shared" si="34"/>
        <v>70288.315753320116</v>
      </c>
      <c r="J150" s="11">
        <f t="shared" si="35"/>
        <v>1599.4130263281695</v>
      </c>
      <c r="K150" s="19">
        <f t="shared" si="31"/>
        <v>1.2422199506118559E-2</v>
      </c>
      <c r="L150" s="4"/>
      <c r="M150" s="17">
        <f t="shared" si="36"/>
        <v>77253.825498305916</v>
      </c>
      <c r="N150" s="17">
        <f t="shared" si="37"/>
        <v>76294.163065355082</v>
      </c>
      <c r="O150" s="17">
        <f t="shared" si="38"/>
        <v>959.66243295083405</v>
      </c>
    </row>
    <row r="151" spans="2:15" x14ac:dyDescent="0.25">
      <c r="B151" s="1">
        <v>40</v>
      </c>
      <c r="C151" s="6">
        <f t="shared" si="28"/>
        <v>0.05</v>
      </c>
      <c r="D151" s="11">
        <f t="shared" si="32"/>
        <v>44767.092388547484</v>
      </c>
      <c r="E151" s="14">
        <f t="shared" si="29"/>
        <v>4476.7092388547489</v>
      </c>
      <c r="F151" s="4"/>
      <c r="G151" s="6">
        <f t="shared" si="30"/>
        <v>2.2248762806663658E-2</v>
      </c>
      <c r="H151" s="11">
        <f t="shared" si="33"/>
        <v>79946.759397573129</v>
      </c>
      <c r="I151" s="11">
        <f t="shared" si="34"/>
        <v>78168.04291057511</v>
      </c>
      <c r="J151" s="11">
        <f t="shared" si="35"/>
        <v>1778.7164869980188</v>
      </c>
      <c r="K151" s="19">
        <f t="shared" si="31"/>
        <v>1.2422199506118559E-2</v>
      </c>
      <c r="L151" s="4"/>
      <c r="M151" s="17">
        <f t="shared" si="36"/>
        <v>86368.853553016452</v>
      </c>
      <c r="N151" s="17">
        <f t="shared" si="37"/>
        <v>85295.962423066143</v>
      </c>
      <c r="O151" s="17">
        <f t="shared" si="38"/>
        <v>1072.8911299503088</v>
      </c>
    </row>
    <row r="152" spans="2:15" x14ac:dyDescent="0.25">
      <c r="B152" s="1">
        <v>41</v>
      </c>
      <c r="C152" s="6">
        <f t="shared" si="28"/>
        <v>0.05</v>
      </c>
      <c r="D152" s="11">
        <f t="shared" si="32"/>
        <v>46540.04654254936</v>
      </c>
      <c r="E152" s="14">
        <f t="shared" si="29"/>
        <v>4654.0046542549362</v>
      </c>
      <c r="F152" s="4"/>
      <c r="G152" s="6">
        <f t="shared" si="30"/>
        <v>2.2248762806663658E-2</v>
      </c>
      <c r="H152" s="11">
        <f t="shared" si="33"/>
        <v>88562.189475263818</v>
      </c>
      <c r="I152" s="11">
        <f t="shared" si="34"/>
        <v>86591.79032798986</v>
      </c>
      <c r="J152" s="11">
        <f t="shared" si="35"/>
        <v>1970.3991472739581</v>
      </c>
      <c r="K152" s="19">
        <f t="shared" si="31"/>
        <v>1.2422199506118559E-2</v>
      </c>
      <c r="L152" s="4"/>
      <c r="M152" s="17">
        <f t="shared" si="36"/>
        <v>96184.123211392842</v>
      </c>
      <c r="N152" s="17">
        <f t="shared" si="37"/>
        <v>94989.304843539823</v>
      </c>
      <c r="O152" s="17">
        <f t="shared" si="38"/>
        <v>1194.8183678530186</v>
      </c>
    </row>
    <row r="153" spans="2:15" x14ac:dyDescent="0.25">
      <c r="B153" s="1">
        <v>42</v>
      </c>
      <c r="C153" s="6">
        <f t="shared" si="28"/>
        <v>0.05</v>
      </c>
      <c r="D153" s="11">
        <f t="shared" si="32"/>
        <v>48383.216702650323</v>
      </c>
      <c r="E153" s="14">
        <f t="shared" si="29"/>
        <v>4838.3216702650325</v>
      </c>
      <c r="F153" s="4"/>
      <c r="G153" s="6">
        <f t="shared" si="30"/>
        <v>2.2248762806663658E-2</v>
      </c>
      <c r="H153" s="11">
        <f t="shared" si="33"/>
        <v>97766.852433777531</v>
      </c>
      <c r="I153" s="11">
        <f t="shared" si="34"/>
        <v>95591.660923624324</v>
      </c>
      <c r="J153" s="11">
        <f t="shared" si="35"/>
        <v>2175.1915101532068</v>
      </c>
      <c r="K153" s="19">
        <f t="shared" si="31"/>
        <v>1.2422199506118559E-2</v>
      </c>
      <c r="L153" s="4"/>
      <c r="M153" s="17">
        <f t="shared" si="36"/>
        <v>106746.37290585075</v>
      </c>
      <c r="N153" s="17">
        <f t="shared" si="37"/>
        <v>105420.34816505975</v>
      </c>
      <c r="O153" s="17">
        <f t="shared" si="38"/>
        <v>1326.0247407909919</v>
      </c>
    </row>
    <row r="154" spans="2:15" x14ac:dyDescent="0.25">
      <c r="B154" s="1">
        <v>43</v>
      </c>
      <c r="C154" s="6">
        <f t="shared" si="28"/>
        <v>0.05</v>
      </c>
      <c r="D154" s="11">
        <f t="shared" si="32"/>
        <v>50299.383700775092</v>
      </c>
      <c r="E154" s="14">
        <f t="shared" si="29"/>
        <v>5029.9383700775097</v>
      </c>
      <c r="F154" s="4"/>
      <c r="G154" s="6">
        <f t="shared" si="30"/>
        <v>2.2248762806663658E-2</v>
      </c>
      <c r="H154" s="11">
        <f t="shared" si="33"/>
        <v>107595.37350217623</v>
      </c>
      <c r="I154" s="11">
        <f t="shared" si="34"/>
        <v>105201.50955803192</v>
      </c>
      <c r="J154" s="11">
        <f t="shared" si="35"/>
        <v>2393.8639441443083</v>
      </c>
      <c r="K154" s="19">
        <f t="shared" si="31"/>
        <v>1.2422199506118559E-2</v>
      </c>
      <c r="L154" s="4"/>
      <c r="M154" s="17">
        <f t="shared" si="36"/>
        <v>118105.25688905767</v>
      </c>
      <c r="N154" s="17">
        <f t="shared" si="37"/>
        <v>116638.12982526042</v>
      </c>
      <c r="O154" s="17">
        <f t="shared" si="38"/>
        <v>1467.1270637972484</v>
      </c>
    </row>
    <row r="155" spans="2:15" x14ac:dyDescent="0.25">
      <c r="B155" s="1">
        <v>44</v>
      </c>
      <c r="C155" s="6">
        <f t="shared" si="28"/>
        <v>0.05</v>
      </c>
      <c r="D155" s="11">
        <f t="shared" si="32"/>
        <v>52291.438500805787</v>
      </c>
      <c r="E155" s="14">
        <f t="shared" si="29"/>
        <v>5229.1438500805789</v>
      </c>
      <c r="F155" s="4"/>
      <c r="G155" s="6">
        <f t="shared" si="30"/>
        <v>2.2248762806663658E-2</v>
      </c>
      <c r="H155" s="11">
        <f t="shared" si="33"/>
        <v>118084.26305025892</v>
      </c>
      <c r="I155" s="11">
        <f t="shared" si="34"/>
        <v>115457.03429045403</v>
      </c>
      <c r="J155" s="11">
        <f t="shared" si="35"/>
        <v>2627.2287598048861</v>
      </c>
      <c r="K155" s="19">
        <f t="shared" si="31"/>
        <v>1.2422199506118559E-2</v>
      </c>
      <c r="L155" s="4"/>
      <c r="M155" s="17">
        <f t="shared" si="36"/>
        <v>130313.52036571116</v>
      </c>
      <c r="N155" s="17">
        <f t="shared" si="37"/>
        <v>128694.73981738366</v>
      </c>
      <c r="O155" s="17">
        <f t="shared" si="38"/>
        <v>1618.7805483275006</v>
      </c>
    </row>
    <row r="156" spans="2:15" x14ac:dyDescent="0.25">
      <c r="B156" s="1">
        <v>45</v>
      </c>
      <c r="C156" s="6">
        <f t="shared" ref="C156:C175" si="39">incomegrowthrate2</f>
        <v>0.03</v>
      </c>
      <c r="D156" s="11">
        <f t="shared" si="32"/>
        <v>54362.386560243642</v>
      </c>
      <c r="E156" s="14">
        <f t="shared" ref="E156:E175" si="40">D156*savingsrate2</f>
        <v>5436.2386560243649</v>
      </c>
      <c r="F156" s="4"/>
      <c r="G156" s="6">
        <f t="shared" ref="G156:G175" si="41">1-EXP(-costportfolioA2)</f>
        <v>2.2248762806663658E-2</v>
      </c>
      <c r="H156" s="11">
        <f t="shared" ref="H156:H175" si="42">(I155+E156)*(1+benchmarkgrowthrate2)/(1+inflationrate2)</f>
        <v>125634.18561104618</v>
      </c>
      <c r="I156" s="11">
        <f t="shared" ref="I156:I175" si="43">(I155+E156)*(1+benchmarkgrowthrate2)*(1-ccca2)/(1+inflationrate2)</f>
        <v>122838.98041497766</v>
      </c>
      <c r="J156" s="11">
        <f t="shared" si="35"/>
        <v>2795.2051960685203</v>
      </c>
      <c r="K156" s="19">
        <f t="shared" ref="K156:K175" si="44">1-EXP(-costportfolioB2)</f>
        <v>1.2422199506118559E-2</v>
      </c>
      <c r="L156" s="4"/>
      <c r="M156" s="17">
        <f t="shared" ref="M156:M175" si="45">(N155+E156)*(1+benchmarkgrowthrate2)/(1+inflationrate2)</f>
        <v>139391.01684491424</v>
      </c>
      <c r="N156" s="17">
        <f t="shared" ref="N156:N175" si="46">(N155+E156)*(1+benchmarkgrowthrate2)*(1-cccb2)/(1+inflationrate2)</f>
        <v>137659.47382430598</v>
      </c>
      <c r="O156" s="17">
        <f t="shared" si="38"/>
        <v>1731.5430206082528</v>
      </c>
    </row>
    <row r="157" spans="2:15" x14ac:dyDescent="0.25">
      <c r="B157" s="1">
        <v>46</v>
      </c>
      <c r="C157" s="6">
        <f t="shared" si="39"/>
        <v>0.03</v>
      </c>
      <c r="D157" s="11">
        <f t="shared" ref="D157:D175" si="47">D156*(1+incomegrowthrate2)/(1+inflationrate2)</f>
        <v>54895.351134363678</v>
      </c>
      <c r="E157" s="14">
        <f t="shared" si="40"/>
        <v>5489.5351134363682</v>
      </c>
      <c r="F157" s="4"/>
      <c r="G157" s="6">
        <f t="shared" si="41"/>
        <v>2.2248762806663658E-2</v>
      </c>
      <c r="H157" s="11">
        <f t="shared" si="42"/>
        <v>133361.00633344988</v>
      </c>
      <c r="I157" s="11">
        <f t="shared" si="43"/>
        <v>130393.88893587899</v>
      </c>
      <c r="J157" s="11">
        <f t="shared" si="35"/>
        <v>2967.1173975708953</v>
      </c>
      <c r="K157" s="19">
        <f t="shared" si="44"/>
        <v>1.2422199506118559E-2</v>
      </c>
      <c r="L157" s="4"/>
      <c r="M157" s="17">
        <f t="shared" si="45"/>
        <v>148762.69556275188</v>
      </c>
      <c r="N157" s="17">
        <f t="shared" si="46"/>
        <v>146914.73567940338</v>
      </c>
      <c r="O157" s="17">
        <f t="shared" si="38"/>
        <v>1847.9598833484924</v>
      </c>
    </row>
    <row r="158" spans="2:15" x14ac:dyDescent="0.25">
      <c r="B158" s="1">
        <v>47</v>
      </c>
      <c r="C158" s="6">
        <f t="shared" si="39"/>
        <v>0.03</v>
      </c>
      <c r="D158" s="11">
        <f t="shared" si="47"/>
        <v>55433.540851367245</v>
      </c>
      <c r="E158" s="14">
        <f t="shared" si="40"/>
        <v>5543.3540851367252</v>
      </c>
      <c r="F158" s="4"/>
      <c r="G158" s="6">
        <f t="shared" si="41"/>
        <v>2.2248762806663658E-2</v>
      </c>
      <c r="H158" s="11">
        <f t="shared" si="42"/>
        <v>141268.11529634966</v>
      </c>
      <c r="I158" s="11">
        <f t="shared" si="43"/>
        <v>138125.07450697676</v>
      </c>
      <c r="J158" s="11">
        <f t="shared" si="35"/>
        <v>3143.0407893728989</v>
      </c>
      <c r="K158" s="19">
        <f t="shared" si="44"/>
        <v>1.2422199506118559E-2</v>
      </c>
      <c r="L158" s="4"/>
      <c r="M158" s="17">
        <f t="shared" si="45"/>
        <v>158436.83838275739</v>
      </c>
      <c r="N158" s="17">
        <f t="shared" si="46"/>
        <v>156468.70436724811</v>
      </c>
      <c r="O158" s="17">
        <f t="shared" si="38"/>
        <v>1968.1340155092767</v>
      </c>
    </row>
    <row r="159" spans="2:15" x14ac:dyDescent="0.25">
      <c r="B159" s="1">
        <v>48</v>
      </c>
      <c r="C159" s="6">
        <f t="shared" si="39"/>
        <v>0.03</v>
      </c>
      <c r="D159" s="11">
        <f t="shared" si="47"/>
        <v>55977.00693814535</v>
      </c>
      <c r="E159" s="14">
        <f t="shared" si="40"/>
        <v>5597.700693814535</v>
      </c>
      <c r="F159" s="4"/>
      <c r="G159" s="6">
        <f t="shared" si="41"/>
        <v>2.2248762806663658E-2</v>
      </c>
      <c r="H159" s="11">
        <f t="shared" si="42"/>
        <v>149358.96246356744</v>
      </c>
      <c r="I159" s="11">
        <f t="shared" si="43"/>
        <v>146035.91033466614</v>
      </c>
      <c r="J159" s="11">
        <f t="shared" si="35"/>
        <v>3323.0521289012977</v>
      </c>
      <c r="K159" s="19">
        <f t="shared" si="44"/>
        <v>1.2422199506118559E-2</v>
      </c>
      <c r="L159" s="4"/>
      <c r="M159" s="17">
        <f t="shared" si="45"/>
        <v>168421.95035757494</v>
      </c>
      <c r="N159" s="17">
        <f t="shared" si="46"/>
        <v>166329.77928902354</v>
      </c>
      <c r="O159" s="17">
        <f t="shared" si="38"/>
        <v>2092.1710685513972</v>
      </c>
    </row>
    <row r="160" spans="2:15" x14ac:dyDescent="0.25">
      <c r="B160" s="1">
        <v>49</v>
      </c>
      <c r="C160" s="6">
        <f t="shared" si="39"/>
        <v>0.03</v>
      </c>
      <c r="D160" s="11">
        <f t="shared" si="47"/>
        <v>56525.801123813442</v>
      </c>
      <c r="E160" s="14">
        <f t="shared" si="40"/>
        <v>5652.5801123813444</v>
      </c>
      <c r="F160" s="4"/>
      <c r="G160" s="6">
        <f t="shared" si="41"/>
        <v>2.2248762806663658E-2</v>
      </c>
      <c r="H160" s="11">
        <f t="shared" si="42"/>
        <v>157637.05869987287</v>
      </c>
      <c r="I160" s="11">
        <f t="shared" si="43"/>
        <v>154129.82917131929</v>
      </c>
      <c r="J160" s="11">
        <f t="shared" si="35"/>
        <v>3507.2295285535802</v>
      </c>
      <c r="K160" s="19">
        <f t="shared" si="44"/>
        <v>1.2422199506118559E-2</v>
      </c>
      <c r="L160" s="4"/>
      <c r="M160" s="17">
        <f t="shared" si="45"/>
        <v>178726.76565244037</v>
      </c>
      <c r="N160" s="17">
        <f t="shared" si="46"/>
        <v>176506.58611242246</v>
      </c>
      <c r="O160" s="17">
        <f t="shared" si="38"/>
        <v>2220.1795400179108</v>
      </c>
    </row>
    <row r="161" spans="2:15" x14ac:dyDescent="0.25">
      <c r="B161" s="1">
        <v>50</v>
      </c>
      <c r="C161" s="6">
        <f t="shared" si="39"/>
        <v>0.03</v>
      </c>
      <c r="D161" s="11">
        <f t="shared" si="47"/>
        <v>57079.975644635146</v>
      </c>
      <c r="E161" s="14">
        <f t="shared" si="40"/>
        <v>5707.9975644635151</v>
      </c>
      <c r="F161" s="4"/>
      <c r="G161" s="6">
        <f t="shared" si="41"/>
        <v>2.2248762806663658E-2</v>
      </c>
      <c r="H161" s="11">
        <f t="shared" si="42"/>
        <v>166105.97680385274</v>
      </c>
      <c r="I161" s="11">
        <f t="shared" si="43"/>
        <v>162410.32432517462</v>
      </c>
      <c r="J161" s="11">
        <f t="shared" si="35"/>
        <v>3695.6524786781229</v>
      </c>
      <c r="K161" s="19">
        <f t="shared" si="44"/>
        <v>1.2422199506118559E-2</v>
      </c>
      <c r="L161" s="4"/>
      <c r="M161" s="17">
        <f t="shared" si="45"/>
        <v>189360.25362499917</v>
      </c>
      <c r="N161" s="17">
        <f t="shared" si="46"/>
        <v>187007.98277594021</v>
      </c>
      <c r="O161" s="17">
        <f t="shared" si="38"/>
        <v>2352.2708490589575</v>
      </c>
    </row>
    <row r="162" spans="2:15" x14ac:dyDescent="0.25">
      <c r="B162" s="1">
        <v>51</v>
      </c>
      <c r="C162" s="6">
        <f t="shared" si="39"/>
        <v>0.03</v>
      </c>
      <c r="D162" s="11">
        <f t="shared" si="47"/>
        <v>57639.583248994313</v>
      </c>
      <c r="E162" s="14">
        <f t="shared" si="40"/>
        <v>5763.9583248994313</v>
      </c>
      <c r="F162" s="4"/>
      <c r="G162" s="6">
        <f t="shared" si="41"/>
        <v>2.2248762806663658E-2</v>
      </c>
      <c r="H162" s="11">
        <f t="shared" si="42"/>
        <v>174769.35255792009</v>
      </c>
      <c r="I162" s="11">
        <f t="shared" si="43"/>
        <v>170880.95068698475</v>
      </c>
      <c r="J162" s="11">
        <f t="shared" si="35"/>
        <v>3888.4018709353404</v>
      </c>
      <c r="K162" s="19">
        <f t="shared" si="44"/>
        <v>1.2422199506118559E-2</v>
      </c>
      <c r="L162" s="4"/>
      <c r="M162" s="17">
        <f t="shared" si="45"/>
        <v>200331.62506557847</v>
      </c>
      <c r="N162" s="17">
        <f t="shared" si="46"/>
        <v>197843.06565162892</v>
      </c>
      <c r="O162" s="17">
        <f t="shared" si="38"/>
        <v>2488.5594139495515</v>
      </c>
    </row>
    <row r="163" spans="2:15" x14ac:dyDescent="0.25">
      <c r="B163" s="1">
        <v>52</v>
      </c>
      <c r="C163" s="6">
        <f t="shared" si="39"/>
        <v>0.03</v>
      </c>
      <c r="D163" s="11">
        <f t="shared" si="47"/>
        <v>58204.677202415827</v>
      </c>
      <c r="E163" s="14">
        <f t="shared" si="40"/>
        <v>5820.4677202415833</v>
      </c>
      <c r="F163" s="4"/>
      <c r="G163" s="6">
        <f t="shared" si="41"/>
        <v>2.2248762806663658E-2</v>
      </c>
      <c r="H163" s="11">
        <f t="shared" si="42"/>
        <v>183630.88579574501</v>
      </c>
      <c r="I163" s="11">
        <f t="shared" si="43"/>
        <v>179545.32577369793</v>
      </c>
      <c r="J163" s="11">
        <f t="shared" si="35"/>
        <v>4085.5600220470806</v>
      </c>
      <c r="K163" s="19">
        <f t="shared" si="44"/>
        <v>1.2422199506118559E-2</v>
      </c>
      <c r="L163" s="4"/>
      <c r="M163" s="17">
        <f t="shared" si="45"/>
        <v>211650.33860213993</v>
      </c>
      <c r="N163" s="17">
        <f t="shared" si="46"/>
        <v>209021.17587048659</v>
      </c>
      <c r="O163" s="17">
        <f t="shared" si="38"/>
        <v>2629.1627316533413</v>
      </c>
    </row>
    <row r="164" spans="2:15" x14ac:dyDescent="0.25">
      <c r="B164" s="1">
        <v>53</v>
      </c>
      <c r="C164" s="6">
        <f t="shared" si="39"/>
        <v>0.03</v>
      </c>
      <c r="D164" s="11">
        <f t="shared" si="47"/>
        <v>58775.31129263559</v>
      </c>
      <c r="E164" s="14">
        <f t="shared" si="40"/>
        <v>5877.5311292635597</v>
      </c>
      <c r="F164" s="4"/>
      <c r="G164" s="6">
        <f t="shared" si="41"/>
        <v>2.2248762806663658E-2</v>
      </c>
      <c r="H164" s="11">
        <f t="shared" si="42"/>
        <v>192694.34148739139</v>
      </c>
      <c r="I164" s="11">
        <f t="shared" si="43"/>
        <v>188407.13078945215</v>
      </c>
      <c r="J164" s="11">
        <f t="shared" si="35"/>
        <v>4287.2106979392411</v>
      </c>
      <c r="K164" s="19">
        <f t="shared" si="44"/>
        <v>1.2422199506118559E-2</v>
      </c>
      <c r="L164" s="4"/>
      <c r="M164" s="17">
        <f t="shared" si="45"/>
        <v>223326.10727425019</v>
      </c>
      <c r="N164" s="17">
        <f t="shared" si="46"/>
        <v>220551.90581476461</v>
      </c>
      <c r="O164" s="17">
        <f t="shared" si="38"/>
        <v>2774.2014594855718</v>
      </c>
    </row>
    <row r="165" spans="2:15" x14ac:dyDescent="0.25">
      <c r="B165" s="1">
        <v>54</v>
      </c>
      <c r="C165" s="6">
        <f t="shared" si="39"/>
        <v>0.03</v>
      </c>
      <c r="D165" s="11">
        <f t="shared" si="47"/>
        <v>59351.53983472025</v>
      </c>
      <c r="E165" s="14">
        <f t="shared" si="40"/>
        <v>5935.1539834720252</v>
      </c>
      <c r="F165" s="4"/>
      <c r="G165" s="6">
        <f t="shared" si="41"/>
        <v>2.2248762806663658E-2</v>
      </c>
      <c r="H165" s="11">
        <f t="shared" si="42"/>
        <v>201963.55084245061</v>
      </c>
      <c r="I165" s="11">
        <f t="shared" si="43"/>
        <v>197470.11170416541</v>
      </c>
      <c r="J165" s="11">
        <f t="shared" si="35"/>
        <v>4493.4391382852045</v>
      </c>
      <c r="K165" s="19">
        <f t="shared" si="44"/>
        <v>1.2422199506118559E-2</v>
      </c>
      <c r="L165" s="4"/>
      <c r="M165" s="17">
        <f t="shared" si="45"/>
        <v>235368.90528052044</v>
      </c>
      <c r="N165" s="17">
        <f t="shared" si="46"/>
        <v>232445.10578158908</v>
      </c>
      <c r="O165" s="17">
        <f t="shared" si="38"/>
        <v>2923.7994989313593</v>
      </c>
    </row>
    <row r="166" spans="2:15" x14ac:dyDescent="0.25">
      <c r="B166" s="1">
        <v>55</v>
      </c>
      <c r="C166" s="6">
        <f t="shared" si="39"/>
        <v>0.03</v>
      </c>
      <c r="D166" s="11">
        <f t="shared" si="47"/>
        <v>59933.417676237113</v>
      </c>
      <c r="E166" s="14">
        <f t="shared" si="40"/>
        <v>5993.3417676237113</v>
      </c>
      <c r="F166" s="4"/>
      <c r="G166" s="6">
        <f t="shared" si="41"/>
        <v>2.2248762806663658E-2</v>
      </c>
      <c r="H166" s="11">
        <f t="shared" si="42"/>
        <v>211442.41243146712</v>
      </c>
      <c r="I166" s="11">
        <f t="shared" si="43"/>
        <v>206738.08035001063</v>
      </c>
      <c r="J166" s="11">
        <f t="shared" si="35"/>
        <v>4704.3320814564941</v>
      </c>
      <c r="K166" s="19">
        <f t="shared" si="44"/>
        <v>1.2422199506118559E-2</v>
      </c>
      <c r="L166" s="4"/>
      <c r="M166" s="17">
        <f t="shared" si="45"/>
        <v>247788.97490408388</v>
      </c>
      <c r="N166" s="17">
        <f t="shared" si="46"/>
        <v>244710.89082240875</v>
      </c>
      <c r="O166" s="17">
        <f t="shared" si="38"/>
        <v>3078.0840816751297</v>
      </c>
    </row>
    <row r="167" spans="2:15" x14ac:dyDescent="0.25">
      <c r="B167" s="1">
        <v>56</v>
      </c>
      <c r="C167" s="6">
        <f t="shared" si="39"/>
        <v>0.03</v>
      </c>
      <c r="D167" s="11">
        <f t="shared" si="47"/>
        <v>60521.00020247473</v>
      </c>
      <c r="E167" s="14">
        <f t="shared" si="40"/>
        <v>6052.1000202474734</v>
      </c>
      <c r="F167" s="4"/>
      <c r="G167" s="6">
        <f t="shared" si="41"/>
        <v>2.2248762806663658E-2</v>
      </c>
      <c r="H167" s="11">
        <f t="shared" si="42"/>
        <v>221134.8933259545</v>
      </c>
      <c r="I167" s="11">
        <f t="shared" si="43"/>
        <v>216214.91553606847</v>
      </c>
      <c r="J167" s="11">
        <f t="shared" si="35"/>
        <v>4919.9777898860339</v>
      </c>
      <c r="K167" s="19">
        <f t="shared" si="44"/>
        <v>1.2422199506118559E-2</v>
      </c>
      <c r="L167" s="4"/>
      <c r="M167" s="17">
        <f t="shared" si="45"/>
        <v>260596.83362079965</v>
      </c>
      <c r="N167" s="17">
        <f t="shared" si="46"/>
        <v>257359.64776289932</v>
      </c>
      <c r="O167" s="17">
        <f t="shared" si="38"/>
        <v>3237.185857900331</v>
      </c>
    </row>
    <row r="168" spans="2:15" x14ac:dyDescent="0.25">
      <c r="B168" s="1">
        <v>57</v>
      </c>
      <c r="C168" s="6">
        <f t="shared" si="39"/>
        <v>0.03</v>
      </c>
      <c r="D168" s="11">
        <f t="shared" si="47"/>
        <v>61114.343341714681</v>
      </c>
      <c r="E168" s="14">
        <f t="shared" si="40"/>
        <v>6111.4343341714684</v>
      </c>
      <c r="F168" s="4"/>
      <c r="G168" s="6">
        <f t="shared" si="41"/>
        <v>2.2248762806663658E-2</v>
      </c>
      <c r="H168" s="11">
        <f t="shared" si="42"/>
        <v>231045.03025730819</v>
      </c>
      <c r="I168" s="11">
        <f t="shared" si="43"/>
        <v>225904.56418145492</v>
      </c>
      <c r="J168" s="11">
        <f t="shared" si="35"/>
        <v>5140.46607585327</v>
      </c>
      <c r="K168" s="19">
        <f t="shared" si="44"/>
        <v>1.2422199506118559E-2</v>
      </c>
      <c r="L168" s="4"/>
      <c r="M168" s="17">
        <f t="shared" si="45"/>
        <v>273803.28139499511</v>
      </c>
      <c r="N168" s="17">
        <f t="shared" si="46"/>
        <v>270402.04240807652</v>
      </c>
      <c r="O168" s="17">
        <f t="shared" si="38"/>
        <v>3401.2389869185863</v>
      </c>
    </row>
    <row r="169" spans="2:15" x14ac:dyDescent="0.25">
      <c r="B169" s="1">
        <v>58</v>
      </c>
      <c r="C169" s="6">
        <f t="shared" si="39"/>
        <v>0.03</v>
      </c>
      <c r="D169" s="11">
        <f t="shared" si="47"/>
        <v>61713.503570555018</v>
      </c>
      <c r="E169" s="14">
        <f t="shared" si="40"/>
        <v>6171.3503570555022</v>
      </c>
      <c r="F169" s="4"/>
      <c r="G169" s="6">
        <f t="shared" si="41"/>
        <v>2.2248762806663658E-2</v>
      </c>
      <c r="H169" s="11">
        <f t="shared" si="42"/>
        <v>241176.93079492258</v>
      </c>
      <c r="I169" s="11">
        <f t="shared" si="43"/>
        <v>235811.04246722723</v>
      </c>
      <c r="J169" s="11">
        <f t="shared" si="35"/>
        <v>5365.888327695342</v>
      </c>
      <c r="K169" s="19">
        <f t="shared" si="44"/>
        <v>1.2422199506118559E-2</v>
      </c>
      <c r="L169" s="4"/>
      <c r="M169" s="17">
        <f t="shared" si="45"/>
        <v>287419.4081676862</v>
      </c>
      <c r="N169" s="17">
        <f t="shared" si="46"/>
        <v>283849.02693749667</v>
      </c>
      <c r="O169" s="17">
        <f t="shared" si="38"/>
        <v>3570.3812301895232</v>
      </c>
    </row>
    <row r="170" spans="2:15" x14ac:dyDescent="0.25">
      <c r="B170" s="1">
        <v>59</v>
      </c>
      <c r="C170" s="6">
        <f t="shared" si="39"/>
        <v>0.03</v>
      </c>
      <c r="D170" s="11">
        <f t="shared" si="47"/>
        <v>62318.537919285955</v>
      </c>
      <c r="E170" s="14">
        <f t="shared" si="40"/>
        <v>6231.8537919285955</v>
      </c>
      <c r="F170" s="4"/>
      <c r="G170" s="6">
        <f t="shared" si="41"/>
        <v>2.2248762806663658E-2</v>
      </c>
      <c r="H170" s="11">
        <f t="shared" si="42"/>
        <v>251534.77454382859</v>
      </c>
      <c r="I170" s="11">
        <f t="shared" si="43"/>
        <v>245938.43700737535</v>
      </c>
      <c r="J170" s="11">
        <f t="shared" si="35"/>
        <v>5596.3375364532403</v>
      </c>
      <c r="K170" s="19">
        <f t="shared" si="44"/>
        <v>1.2422199506118559E-2</v>
      </c>
      <c r="L170" s="4"/>
      <c r="M170" s="17">
        <f t="shared" si="45"/>
        <v>301456.60154234391</v>
      </c>
      <c r="N170" s="17">
        <f t="shared" si="46"/>
        <v>297711.84749554843</v>
      </c>
      <c r="O170" s="17">
        <f t="shared" si="38"/>
        <v>3744.7540467954823</v>
      </c>
    </row>
    <row r="171" spans="2:15" x14ac:dyDescent="0.25">
      <c r="B171" s="1">
        <v>60</v>
      </c>
      <c r="C171" s="6">
        <f t="shared" si="39"/>
        <v>0.03</v>
      </c>
      <c r="D171" s="11">
        <f t="shared" si="47"/>
        <v>62929.503977318171</v>
      </c>
      <c r="E171" s="14">
        <f t="shared" si="40"/>
        <v>6292.9503977318172</v>
      </c>
      <c r="F171" s="4"/>
      <c r="G171" s="6">
        <f t="shared" si="41"/>
        <v>2.2248762806663658E-2</v>
      </c>
      <c r="H171" s="11">
        <f t="shared" si="42"/>
        <v>262122.81436217023</v>
      </c>
      <c r="I171" s="11">
        <f t="shared" si="43"/>
        <v>256290.90603921117</v>
      </c>
      <c r="J171" s="11">
        <f t="shared" si="35"/>
        <v>5831.9083229590615</v>
      </c>
      <c r="K171" s="19">
        <f t="shared" si="44"/>
        <v>1.2422199506118559E-2</v>
      </c>
      <c r="L171" s="4"/>
      <c r="M171" s="17">
        <f t="shared" si="45"/>
        <v>315926.55467340886</v>
      </c>
      <c r="N171" s="17">
        <f t="shared" si="46"/>
        <v>312002.05198197509</v>
      </c>
      <c r="O171" s="17">
        <f t="shared" si="38"/>
        <v>3924.502691433765</v>
      </c>
    </row>
    <row r="172" spans="2:15" x14ac:dyDescent="0.25">
      <c r="B172" s="1">
        <v>61</v>
      </c>
      <c r="C172" s="6">
        <f t="shared" si="39"/>
        <v>0.03</v>
      </c>
      <c r="D172" s="11">
        <f t="shared" si="47"/>
        <v>63546.459898664427</v>
      </c>
      <c r="E172" s="14">
        <f t="shared" si="40"/>
        <v>6354.6459898664434</v>
      </c>
      <c r="F172" s="4"/>
      <c r="G172" s="6">
        <f t="shared" si="41"/>
        <v>2.2248762806663658E-2</v>
      </c>
      <c r="H172" s="11">
        <f t="shared" si="42"/>
        <v>272945.37759884534</v>
      </c>
      <c r="I172" s="11">
        <f t="shared" si="43"/>
        <v>266872.68063347338</v>
      </c>
      <c r="J172" s="11">
        <f t="shared" si="35"/>
        <v>6072.696965371957</v>
      </c>
      <c r="K172" s="19">
        <f t="shared" si="44"/>
        <v>1.2422199506118559E-2</v>
      </c>
      <c r="L172" s="4"/>
      <c r="M172" s="17">
        <f t="shared" si="45"/>
        <v>330841.27436289412</v>
      </c>
      <c r="N172" s="17">
        <f t="shared" si="46"/>
        <v>326731.4980478998</v>
      </c>
      <c r="O172" s="17">
        <f t="shared" si="38"/>
        <v>4109.7763149943203</v>
      </c>
    </row>
    <row r="173" spans="2:15" x14ac:dyDescent="0.25">
      <c r="B173" s="1">
        <v>62</v>
      </c>
      <c r="C173" s="6">
        <f t="shared" si="39"/>
        <v>0.03</v>
      </c>
      <c r="D173" s="11">
        <f t="shared" si="47"/>
        <v>64169.464407474865</v>
      </c>
      <c r="E173" s="14">
        <f t="shared" si="40"/>
        <v>6416.946440747487</v>
      </c>
      <c r="F173" s="4"/>
      <c r="G173" s="6">
        <f t="shared" si="41"/>
        <v>2.2248762806663658E-2</v>
      </c>
      <c r="H173" s="11">
        <f t="shared" si="42"/>
        <v>284006.8673516413</v>
      </c>
      <c r="I173" s="11">
        <f t="shared" si="43"/>
        <v>277688.06592447101</v>
      </c>
      <c r="J173" s="11">
        <f t="shared" si="35"/>
        <v>6318.801427170285</v>
      </c>
      <c r="K173" s="19">
        <f t="shared" si="44"/>
        <v>1.2422199506118559E-2</v>
      </c>
      <c r="L173" s="4"/>
      <c r="M173" s="17">
        <f t="shared" si="45"/>
        <v>346213.08937055501</v>
      </c>
      <c r="N173" s="17">
        <f t="shared" si="46"/>
        <v>341912.36130276433</v>
      </c>
      <c r="O173" s="17">
        <f t="shared" si="38"/>
        <v>4300.728067790682</v>
      </c>
    </row>
    <row r="174" spans="2:15" x14ac:dyDescent="0.25">
      <c r="B174" s="1">
        <v>63</v>
      </c>
      <c r="C174" s="6">
        <f t="shared" si="39"/>
        <v>0.03</v>
      </c>
      <c r="D174" s="11">
        <f t="shared" si="47"/>
        <v>64798.576803626587</v>
      </c>
      <c r="E174" s="14">
        <f t="shared" si="40"/>
        <v>6479.8576803626593</v>
      </c>
      <c r="F174" s="4"/>
      <c r="G174" s="6">
        <f t="shared" si="41"/>
        <v>2.2248762806663658E-2</v>
      </c>
      <c r="H174" s="11">
        <f t="shared" si="42"/>
        <v>295311.76374619966</v>
      </c>
      <c r="I174" s="11">
        <f t="shared" si="43"/>
        <v>288741.44236059301</v>
      </c>
      <c r="J174" s="11">
        <f t="shared" si="35"/>
        <v>6570.3213856066577</v>
      </c>
      <c r="K174" s="19">
        <f t="shared" si="44"/>
        <v>1.2422199506118559E-2</v>
      </c>
      <c r="L174" s="4"/>
      <c r="M174" s="17">
        <f t="shared" si="45"/>
        <v>362054.65894324961</v>
      </c>
      <c r="N174" s="17">
        <f t="shared" si="46"/>
        <v>357557.14373773686</v>
      </c>
      <c r="O174" s="17">
        <f t="shared" si="38"/>
        <v>4497.5152055127546</v>
      </c>
    </row>
    <row r="175" spans="2:15" x14ac:dyDescent="0.25">
      <c r="B175" s="1">
        <v>64</v>
      </c>
      <c r="C175" s="6">
        <f t="shared" si="39"/>
        <v>0.03</v>
      </c>
      <c r="D175" s="11">
        <f t="shared" si="47"/>
        <v>65433.856968368018</v>
      </c>
      <c r="E175" s="14">
        <f t="shared" si="40"/>
        <v>6543.3856968368018</v>
      </c>
      <c r="F175" s="4"/>
      <c r="G175" s="6">
        <f t="shared" si="41"/>
        <v>2.2248762806663658E-2</v>
      </c>
      <c r="H175" s="11">
        <f t="shared" si="42"/>
        <v>306864.62523615255</v>
      </c>
      <c r="I175" s="11">
        <f t="shared" si="43"/>
        <v>300037.26697551768</v>
      </c>
      <c r="J175" s="11">
        <f t="shared" si="35"/>
        <v>6827.3582606348791</v>
      </c>
      <c r="K175" s="19">
        <f t="shared" si="44"/>
        <v>1.2422199506118559E-2</v>
      </c>
      <c r="L175" s="101"/>
      <c r="M175" s="17">
        <f t="shared" si="45"/>
        <v>378378.9815692628</v>
      </c>
      <c r="N175" s="17">
        <f t="shared" si="46"/>
        <v>373678.68237128749</v>
      </c>
      <c r="O175" s="17">
        <f t="shared" si="38"/>
        <v>4700.2991979753133</v>
      </c>
    </row>
    <row r="176" spans="2:15" x14ac:dyDescent="0.25">
      <c r="B176" s="7">
        <v>65</v>
      </c>
      <c r="C176" s="9"/>
      <c r="D176" s="8"/>
      <c r="E176" s="8"/>
      <c r="F176" s="24">
        <f>PMT((1+benchmarkgrowthrate3)*(1-ccca3)/(1+inflationrate3)-1,25,-I175,0,1)</f>
        <v>10244.000783751022</v>
      </c>
      <c r="G176" s="12">
        <f t="shared" ref="G176:G200" si="48">1-EXP(-costportfolioA3)</f>
        <v>2.2248762806663658E-2</v>
      </c>
      <c r="H176" s="15">
        <f t="shared" ref="H176:H200" si="49">(I175-F176)*(1+benchmarkgrowthrate3)/(1+inflationrate3)</f>
        <v>292606.7930479974</v>
      </c>
      <c r="I176" s="15">
        <f t="shared" ref="I176:I200" si="50">(I175-F176)*(1+benchmarkgrowthrate3)*(1-ccca3)/(1+inflationrate3)</f>
        <v>286096.65391385398</v>
      </c>
      <c r="J176" s="15">
        <f t="shared" si="35"/>
        <v>6510.139134143421</v>
      </c>
      <c r="K176" s="20">
        <f t="shared" ref="K176:K200" si="51">1-EXP(-costportfolioB3)</f>
        <v>1.2422199506118559E-2</v>
      </c>
      <c r="L176" s="26">
        <f>PMT((1+benchmarkgrowthrate3)*(1-cccb3)/(1+inflationrate3)-1,25,-N175,0,1)</f>
        <v>14443.637143317485</v>
      </c>
      <c r="M176" s="18">
        <f t="shared" ref="M176:M200" si="52">(N175-L176)*(1+benchmarkgrowthrate3)/(1+inflationrate3)</f>
        <v>362722.76411367842</v>
      </c>
      <c r="N176" s="18">
        <f t="shared" ref="N176:N200" si="53">(N175-L176)*(1+benchmarkgrowthrate3)*(1-cccb3)/(1+inflationrate3)</f>
        <v>358216.94957244757</v>
      </c>
      <c r="O176" s="18">
        <f t="shared" si="38"/>
        <v>4505.8145412308513</v>
      </c>
    </row>
    <row r="177" spans="2:15" x14ac:dyDescent="0.25">
      <c r="B177" s="1">
        <v>66</v>
      </c>
      <c r="C177" s="4"/>
      <c r="F177" s="11">
        <f>F176</f>
        <v>10244.000783751022</v>
      </c>
      <c r="G177" s="6">
        <f t="shared" si="48"/>
        <v>2.2248762806663658E-2</v>
      </c>
      <c r="H177" s="22">
        <f t="shared" si="49"/>
        <v>278530.83422845346</v>
      </c>
      <c r="I177" s="22">
        <f t="shared" si="50"/>
        <v>272333.86776336242</v>
      </c>
      <c r="J177" s="11">
        <f t="shared" si="35"/>
        <v>6196.9664650910418</v>
      </c>
      <c r="K177" s="21">
        <f t="shared" si="51"/>
        <v>1.2422199506118559E-2</v>
      </c>
      <c r="L177" s="27">
        <f>L176</f>
        <v>14443.637143317485</v>
      </c>
      <c r="M177" s="34">
        <f t="shared" si="52"/>
        <v>347110.91740417021</v>
      </c>
      <c r="N177" s="34">
        <f t="shared" si="53"/>
        <v>342799.03633742378</v>
      </c>
      <c r="O177" s="17">
        <f t="shared" si="38"/>
        <v>4311.8810667464277</v>
      </c>
    </row>
    <row r="178" spans="2:15" x14ac:dyDescent="0.25">
      <c r="B178" s="1">
        <v>67</v>
      </c>
      <c r="C178" s="4"/>
      <c r="F178" s="11">
        <f t="shared" ref="F178:F200" si="54">F177</f>
        <v>10244.000783751022</v>
      </c>
      <c r="G178" s="6">
        <f t="shared" si="48"/>
        <v>2.2248762806663658E-2</v>
      </c>
      <c r="H178" s="23">
        <f t="shared" si="49"/>
        <v>264634.42879494745</v>
      </c>
      <c r="I178" s="23">
        <f t="shared" si="50"/>
        <v>258746.64015821175</v>
      </c>
      <c r="J178" s="11">
        <f t="shared" si="35"/>
        <v>5887.7886367356987</v>
      </c>
      <c r="K178" s="21">
        <f t="shared" si="51"/>
        <v>1.2422199506118559E-2</v>
      </c>
      <c r="L178" s="27">
        <f t="shared" ref="L178:L200" si="55">L177</f>
        <v>14443.637143317485</v>
      </c>
      <c r="M178" s="35">
        <f t="shared" si="52"/>
        <v>331543.31569113646</v>
      </c>
      <c r="N178" s="35">
        <f t="shared" si="53"/>
        <v>327424.81847870111</v>
      </c>
      <c r="O178" s="17">
        <f t="shared" si="38"/>
        <v>4118.4972124353517</v>
      </c>
    </row>
    <row r="179" spans="2:15" x14ac:dyDescent="0.25">
      <c r="B179" s="1">
        <v>68</v>
      </c>
      <c r="C179" s="4"/>
      <c r="F179" s="11">
        <f t="shared" si="54"/>
        <v>10244.000783751022</v>
      </c>
      <c r="G179" s="6">
        <f t="shared" si="48"/>
        <v>2.2248762806663658E-2</v>
      </c>
      <c r="H179" s="23">
        <f t="shared" si="49"/>
        <v>250915.2863586788</v>
      </c>
      <c r="I179" s="23">
        <f t="shared" si="50"/>
        <v>245332.73166791844</v>
      </c>
      <c r="J179" s="11">
        <f t="shared" si="35"/>
        <v>5582.5546907603566</v>
      </c>
      <c r="K179" s="21">
        <f t="shared" si="51"/>
        <v>1.2422199506118559E-2</v>
      </c>
      <c r="L179" s="27">
        <f t="shared" si="55"/>
        <v>14443.637143317485</v>
      </c>
      <c r="M179" s="35">
        <f t="shared" si="52"/>
        <v>316019.83358135819</v>
      </c>
      <c r="N179" s="35">
        <f t="shared" si="53"/>
        <v>312094.17216072016</v>
      </c>
      <c r="O179" s="17">
        <f t="shared" si="38"/>
        <v>3925.6614206380327</v>
      </c>
    </row>
    <row r="180" spans="2:15" x14ac:dyDescent="0.25">
      <c r="B180" s="1">
        <v>69</v>
      </c>
      <c r="C180" s="4"/>
      <c r="F180" s="11">
        <f t="shared" si="54"/>
        <v>10244.000783751022</v>
      </c>
      <c r="G180" s="6">
        <f t="shared" si="48"/>
        <v>2.2248762806663658E-2</v>
      </c>
      <c r="H180" s="23">
        <f t="shared" si="49"/>
        <v>237371.14574712049</v>
      </c>
      <c r="I180" s="23">
        <f t="shared" si="50"/>
        <v>232089.93142824681</v>
      </c>
      <c r="J180" s="11">
        <f t="shared" si="35"/>
        <v>5281.2143188736809</v>
      </c>
      <c r="K180" s="21">
        <f t="shared" si="51"/>
        <v>1.2422199506118559E-2</v>
      </c>
      <c r="L180" s="27">
        <f t="shared" si="55"/>
        <v>14443.637143317485</v>
      </c>
      <c r="M180" s="35">
        <f t="shared" si="52"/>
        <v>300540.34603698913</v>
      </c>
      <c r="N180" s="35">
        <f t="shared" si="53"/>
        <v>296806.97389887972</v>
      </c>
      <c r="O180" s="17">
        <f t="shared" si="38"/>
        <v>3733.3721381094074</v>
      </c>
    </row>
    <row r="181" spans="2:15" x14ac:dyDescent="0.25">
      <c r="B181" s="1">
        <v>70</v>
      </c>
      <c r="C181" s="4"/>
      <c r="F181" s="11">
        <f t="shared" si="54"/>
        <v>10244.000783751022</v>
      </c>
      <c r="G181" s="6">
        <f t="shared" si="48"/>
        <v>2.2248762806663658E-2</v>
      </c>
      <c r="H181" s="23">
        <f t="shared" si="49"/>
        <v>223999.77463133555</v>
      </c>
      <c r="I181" s="23">
        <f t="shared" si="50"/>
        <v>219016.05677681684</v>
      </c>
      <c r="J181" s="11">
        <f t="shared" si="35"/>
        <v>4983.7178545187053</v>
      </c>
      <c r="K181" s="21">
        <f t="shared" si="51"/>
        <v>1.2422199506118559E-2</v>
      </c>
      <c r="L181" s="27">
        <f t="shared" si="55"/>
        <v>14443.637143317485</v>
      </c>
      <c r="M181" s="35">
        <f t="shared" si="52"/>
        <v>285104.72837454826</v>
      </c>
      <c r="N181" s="35">
        <f t="shared" si="53"/>
        <v>281563.10055854189</v>
      </c>
      <c r="O181" s="17">
        <f t="shared" si="38"/>
        <v>3541.6278160063666</v>
      </c>
    </row>
    <row r="182" spans="2:15" x14ac:dyDescent="0.25">
      <c r="B182" s="1">
        <v>71</v>
      </c>
      <c r="C182" s="4"/>
      <c r="F182" s="11">
        <f t="shared" si="54"/>
        <v>10244.000783751022</v>
      </c>
      <c r="G182" s="6">
        <f t="shared" si="48"/>
        <v>2.2248762806663658E-2</v>
      </c>
      <c r="H182" s="23">
        <f t="shared" si="49"/>
        <v>210798.96915804705</v>
      </c>
      <c r="I182" s="23">
        <f t="shared" si="50"/>
        <v>206108.95289336046</v>
      </c>
      <c r="J182" s="11">
        <f t="shared" si="35"/>
        <v>4690.0162646865938</v>
      </c>
      <c r="K182" s="21">
        <f t="shared" si="51"/>
        <v>1.2422199506118559E-2</v>
      </c>
      <c r="L182" s="27">
        <f t="shared" si="55"/>
        <v>14443.637143317485</v>
      </c>
      <c r="M182" s="35">
        <f t="shared" si="52"/>
        <v>269712.85626391589</v>
      </c>
      <c r="N182" s="35">
        <f t="shared" si="53"/>
        <v>266362.42935404042</v>
      </c>
      <c r="O182" s="17">
        <f t="shared" si="38"/>
        <v>3350.4269098754739</v>
      </c>
    </row>
    <row r="183" spans="2:15" x14ac:dyDescent="0.25">
      <c r="B183" s="1">
        <v>72</v>
      </c>
      <c r="C183" s="4"/>
      <c r="F183" s="11">
        <f t="shared" si="54"/>
        <v>10244.000783751022</v>
      </c>
      <c r="G183" s="6">
        <f t="shared" si="48"/>
        <v>2.2248762806663658E-2</v>
      </c>
      <c r="H183" s="23">
        <f t="shared" si="49"/>
        <v>197766.55358640174</v>
      </c>
      <c r="I183" s="23">
        <f t="shared" si="50"/>
        <v>193366.49244456657</v>
      </c>
      <c r="J183" s="11">
        <f t="shared" si="35"/>
        <v>4400.0611418351764</v>
      </c>
      <c r="K183" s="21">
        <f t="shared" si="51"/>
        <v>1.2422199506118559E-2</v>
      </c>
      <c r="L183" s="27">
        <f t="shared" si="55"/>
        <v>14443.637143317485</v>
      </c>
      <c r="M183" s="35">
        <f t="shared" si="52"/>
        <v>254364.60572733189</v>
      </c>
      <c r="N183" s="35">
        <f t="shared" si="53"/>
        <v>251204.83784769179</v>
      </c>
      <c r="O183" s="17">
        <f t="shared" si="38"/>
        <v>3159.7678796401015</v>
      </c>
    </row>
    <row r="184" spans="2:15" x14ac:dyDescent="0.25">
      <c r="B184" s="1">
        <v>73</v>
      </c>
      <c r="C184" s="4"/>
      <c r="F184" s="11">
        <f t="shared" si="54"/>
        <v>10244.000783751022</v>
      </c>
      <c r="G184" s="6">
        <f t="shared" si="48"/>
        <v>2.2248762806663658E-2</v>
      </c>
      <c r="H184" s="23">
        <f t="shared" si="49"/>
        <v>184900.37992936716</v>
      </c>
      <c r="I184" s="23">
        <f t="shared" si="50"/>
        <v>180786.57523345668</v>
      </c>
      <c r="J184" s="11">
        <f t="shared" si="35"/>
        <v>4113.8046959104831</v>
      </c>
      <c r="K184" s="21">
        <f t="shared" si="51"/>
        <v>1.2422199506118559E-2</v>
      </c>
      <c r="L184" s="27">
        <f t="shared" si="55"/>
        <v>14443.637143317485</v>
      </c>
      <c r="M184" s="35">
        <f t="shared" si="52"/>
        <v>239059.85313839736</v>
      </c>
      <c r="N184" s="35">
        <f t="shared" si="53"/>
        <v>236090.20394880878</v>
      </c>
      <c r="O184" s="17">
        <f t="shared" si="38"/>
        <v>2969.6491895885847</v>
      </c>
    </row>
    <row r="185" spans="2:15" x14ac:dyDescent="0.25">
      <c r="B185" s="1">
        <v>74</v>
      </c>
      <c r="C185" s="4"/>
      <c r="F185" s="11">
        <f t="shared" si="54"/>
        <v>10244.000783751022</v>
      </c>
      <c r="G185" s="6">
        <f t="shared" si="48"/>
        <v>2.2248762806663658E-2</v>
      </c>
      <c r="H185" s="23">
        <f t="shared" si="49"/>
        <v>172198.32759970281</v>
      </c>
      <c r="I185" s="23">
        <f t="shared" si="50"/>
        <v>168367.12785323284</v>
      </c>
      <c r="J185" s="11">
        <f t="shared" si="35"/>
        <v>3831.1997464699671</v>
      </c>
      <c r="K185" s="21">
        <f t="shared" si="51"/>
        <v>1.2422199506118559E-2</v>
      </c>
      <c r="L185" s="27">
        <f t="shared" si="55"/>
        <v>14443.637143317485</v>
      </c>
      <c r="M185" s="35">
        <f t="shared" si="52"/>
        <v>223798.47522107858</v>
      </c>
      <c r="N185" s="35">
        <f t="shared" si="53"/>
        <v>221018.40591271722</v>
      </c>
      <c r="O185" s="17">
        <f t="shared" si="38"/>
        <v>2780.0693083613587</v>
      </c>
    </row>
    <row r="186" spans="2:15" x14ac:dyDescent="0.25">
      <c r="B186" s="1">
        <v>75</v>
      </c>
      <c r="C186" s="4"/>
      <c r="F186" s="11">
        <f t="shared" si="54"/>
        <v>10244.000783751022</v>
      </c>
      <c r="G186" s="6">
        <f t="shared" si="48"/>
        <v>2.2248762806663658E-2</v>
      </c>
      <c r="H186" s="23">
        <f t="shared" si="49"/>
        <v>159658.30306044768</v>
      </c>
      <c r="I186" s="23">
        <f t="shared" si="50"/>
        <v>156106.10334554137</v>
      </c>
      <c r="J186" s="11">
        <f t="shared" si="35"/>
        <v>3552.19971490631</v>
      </c>
      <c r="K186" s="21">
        <f t="shared" si="51"/>
        <v>1.2422199506118559E-2</v>
      </c>
      <c r="L186" s="27">
        <f t="shared" si="55"/>
        <v>14443.637143317485</v>
      </c>
      <c r="M186" s="35">
        <f t="shared" si="52"/>
        <v>208580.3490487143</v>
      </c>
      <c r="N186" s="35">
        <f t="shared" si="53"/>
        <v>205989.3223397753</v>
      </c>
      <c r="O186" s="17">
        <f t="shared" si="38"/>
        <v>2591.0267089389963</v>
      </c>
    </row>
    <row r="187" spans="2:15" x14ac:dyDescent="0.25">
      <c r="B187" s="1">
        <v>76</v>
      </c>
      <c r="C187" s="4"/>
      <c r="F187" s="11">
        <f t="shared" si="54"/>
        <v>10244.000783751022</v>
      </c>
      <c r="G187" s="6">
        <f t="shared" si="48"/>
        <v>2.2248762806663658E-2</v>
      </c>
      <c r="H187" s="23">
        <f t="shared" si="49"/>
        <v>147278.239479866</v>
      </c>
      <c r="I187" s="23">
        <f t="shared" si="50"/>
        <v>144001.48086309544</v>
      </c>
      <c r="J187" s="11">
        <f t="shared" si="35"/>
        <v>3276.7586167705595</v>
      </c>
      <c r="K187" s="21">
        <f t="shared" si="51"/>
        <v>1.2422199506118559E-2</v>
      </c>
      <c r="L187" s="27">
        <f t="shared" si="55"/>
        <v>14443.637143317485</v>
      </c>
      <c r="M187" s="35">
        <f t="shared" si="52"/>
        <v>193405.35204302534</v>
      </c>
      <c r="N187" s="35">
        <f t="shared" si="53"/>
        <v>191002.83217439579</v>
      </c>
      <c r="O187" s="17">
        <f t="shared" si="38"/>
        <v>2402.519868629548</v>
      </c>
    </row>
    <row r="188" spans="2:15" x14ac:dyDescent="0.25">
      <c r="B188" s="1">
        <v>77</v>
      </c>
      <c r="C188" s="4"/>
      <c r="F188" s="11">
        <f t="shared" si="54"/>
        <v>10244.000783751022</v>
      </c>
      <c r="G188" s="6">
        <f t="shared" si="48"/>
        <v>2.2248762806663658E-2</v>
      </c>
      <c r="H188" s="23">
        <f t="shared" si="49"/>
        <v>135056.09639079435</v>
      </c>
      <c r="I188" s="23">
        <f t="shared" si="50"/>
        <v>132051.26533660167</v>
      </c>
      <c r="J188" s="11">
        <f t="shared" si="35"/>
        <v>3004.8310541926767</v>
      </c>
      <c r="K188" s="21">
        <f t="shared" si="51"/>
        <v>1.2422199506118559E-2</v>
      </c>
      <c r="L188" s="27">
        <f t="shared" si="55"/>
        <v>14443.637143317485</v>
      </c>
      <c r="M188" s="35">
        <f t="shared" si="52"/>
        <v>178273.36197312761</v>
      </c>
      <c r="N188" s="35">
        <f t="shared" si="53"/>
        <v>176058.81470407094</v>
      </c>
      <c r="O188" s="17">
        <f t="shared" si="38"/>
        <v>2214.5472690566676</v>
      </c>
    </row>
    <row r="189" spans="2:15" x14ac:dyDescent="0.25">
      <c r="B189" s="1">
        <v>78</v>
      </c>
      <c r="C189" s="4"/>
      <c r="F189" s="11">
        <f t="shared" si="54"/>
        <v>10244.000783751022</v>
      </c>
      <c r="G189" s="6">
        <f t="shared" si="48"/>
        <v>2.2248762806663658E-2</v>
      </c>
      <c r="H189" s="23">
        <f t="shared" si="49"/>
        <v>122989.85935433464</v>
      </c>
      <c r="I189" s="23">
        <f t="shared" si="50"/>
        <v>120253.48714593513</v>
      </c>
      <c r="J189" s="11">
        <f t="shared" si="35"/>
        <v>2736.372208399509</v>
      </c>
      <c r="K189" s="21">
        <f t="shared" si="51"/>
        <v>1.2422199506118559E-2</v>
      </c>
      <c r="L189" s="27">
        <f t="shared" si="55"/>
        <v>14443.637143317485</v>
      </c>
      <c r="M189" s="35">
        <f t="shared" si="52"/>
        <v>163184.25695454716</v>
      </c>
      <c r="N189" s="35">
        <f t="shared" si="53"/>
        <v>161157.14955840007</v>
      </c>
      <c r="O189" s="17">
        <f t="shared" si="38"/>
        <v>2027.1073961470975</v>
      </c>
    </row>
    <row r="190" spans="2:15" x14ac:dyDescent="0.25">
      <c r="B190" s="1">
        <v>79</v>
      </c>
      <c r="C190" s="4"/>
      <c r="F190" s="11">
        <f t="shared" si="54"/>
        <v>10244.000783751022</v>
      </c>
      <c r="G190" s="6">
        <f t="shared" si="48"/>
        <v>2.2248762806663658E-2</v>
      </c>
      <c r="H190" s="23">
        <f t="shared" si="49"/>
        <v>111077.53962783638</v>
      </c>
      <c r="I190" s="23">
        <f t="shared" si="50"/>
        <v>108606.20179550887</v>
      </c>
      <c r="J190" s="11">
        <f t="shared" si="35"/>
        <v>2471.3378323275101</v>
      </c>
      <c r="K190" s="21">
        <f t="shared" si="51"/>
        <v>1.2422199506118559E-2</v>
      </c>
      <c r="L190" s="27">
        <f t="shared" si="55"/>
        <v>14443.637143317485</v>
      </c>
      <c r="M190" s="35">
        <f t="shared" si="52"/>
        <v>148137.91544823869</v>
      </c>
      <c r="N190" s="35">
        <f t="shared" si="53"/>
        <v>146297.71670812016</v>
      </c>
      <c r="O190" s="17">
        <f t="shared" si="38"/>
        <v>1840.1987401185324</v>
      </c>
    </row>
    <row r="191" spans="2:15" x14ac:dyDescent="0.25">
      <c r="B191" s="1">
        <v>80</v>
      </c>
      <c r="C191" s="4"/>
      <c r="F191" s="11">
        <f t="shared" si="54"/>
        <v>10244.000783751022</v>
      </c>
      <c r="G191" s="6">
        <f t="shared" si="48"/>
        <v>2.2248762806663658E-2</v>
      </c>
      <c r="H191" s="23">
        <f t="shared" si="49"/>
        <v>99317.173837114722</v>
      </c>
      <c r="I191" s="23">
        <f t="shared" si="50"/>
        <v>97107.489593784572</v>
      </c>
      <c r="J191" s="11">
        <f t="shared" si="35"/>
        <v>2209.6842433301499</v>
      </c>
      <c r="K191" s="21">
        <f t="shared" si="51"/>
        <v>1.2422199506118559E-2</v>
      </c>
      <c r="L191" s="27">
        <f t="shared" si="55"/>
        <v>14443.637143317485</v>
      </c>
      <c r="M191" s="35">
        <f t="shared" si="52"/>
        <v>133134.21625960656</v>
      </c>
      <c r="N191" s="35">
        <f t="shared" si="53"/>
        <v>131480.39646413902</v>
      </c>
      <c r="O191" s="17">
        <f t="shared" si="38"/>
        <v>1653.8197954675416</v>
      </c>
    </row>
    <row r="192" spans="2:15" x14ac:dyDescent="0.25">
      <c r="B192" s="1">
        <v>81</v>
      </c>
      <c r="C192" s="4"/>
      <c r="F192" s="11">
        <f t="shared" si="54"/>
        <v>10244.000783751022</v>
      </c>
      <c r="G192" s="6">
        <f t="shared" si="48"/>
        <v>2.2248762806663658E-2</v>
      </c>
      <c r="H192" s="23">
        <f t="shared" si="49"/>
        <v>87706.823652849416</v>
      </c>
      <c r="I192" s="23">
        <f t="shared" si="50"/>
        <v>85755.45533687128</v>
      </c>
      <c r="J192" s="11">
        <f t="shared" si="35"/>
        <v>1951.3683159781358</v>
      </c>
      <c r="K192" s="21">
        <f t="shared" si="51"/>
        <v>1.2422199506118559E-2</v>
      </c>
      <c r="L192" s="27">
        <f t="shared" si="55"/>
        <v>14443.637143317485</v>
      </c>
      <c r="M192" s="35">
        <f t="shared" si="52"/>
        <v>118173.03853752854</v>
      </c>
      <c r="N192" s="35">
        <f t="shared" si="53"/>
        <v>116705.06947657112</v>
      </c>
      <c r="O192" s="17">
        <f t="shared" si="38"/>
        <v>1467.9690609574172</v>
      </c>
    </row>
    <row r="193" spans="2:15" x14ac:dyDescent="0.25">
      <c r="B193" s="1">
        <v>82</v>
      </c>
      <c r="C193" s="4"/>
      <c r="F193" s="11">
        <f t="shared" si="54"/>
        <v>10244.000783751022</v>
      </c>
      <c r="G193" s="6">
        <f t="shared" si="48"/>
        <v>2.2248762806663658E-2</v>
      </c>
      <c r="H193" s="23">
        <f t="shared" si="49"/>
        <v>76244.575471111719</v>
      </c>
      <c r="I193" s="23">
        <f t="shared" si="50"/>
        <v>74548.227996160189</v>
      </c>
      <c r="J193" s="11">
        <f t="shared" si="35"/>
        <v>1696.3474749515299</v>
      </c>
      <c r="K193" s="21">
        <f t="shared" si="51"/>
        <v>1.2422199506118559E-2</v>
      </c>
      <c r="L193" s="27">
        <f t="shared" si="55"/>
        <v>14443.637143317485</v>
      </c>
      <c r="M193" s="35">
        <f t="shared" si="52"/>
        <v>103254.26177338233</v>
      </c>
      <c r="N193" s="35">
        <f t="shared" si="53"/>
        <v>101971.61673377638</v>
      </c>
      <c r="O193" s="17">
        <f t="shared" si="38"/>
        <v>1282.6450396059518</v>
      </c>
    </row>
    <row r="194" spans="2:15" x14ac:dyDescent="0.25">
      <c r="B194" s="1">
        <v>83</v>
      </c>
      <c r="C194" s="4"/>
      <c r="F194" s="11">
        <f t="shared" si="54"/>
        <v>10244.000783751022</v>
      </c>
      <c r="G194" s="6">
        <f t="shared" si="48"/>
        <v>2.2248762806663658E-2</v>
      </c>
      <c r="H194" s="23">
        <f t="shared" si="49"/>
        <v>64928.540097966543</v>
      </c>
      <c r="I194" s="23">
        <f t="shared" si="50"/>
        <v>63483.960409943938</v>
      </c>
      <c r="J194" s="11">
        <f t="shared" si="35"/>
        <v>1444.5796880226044</v>
      </c>
      <c r="K194" s="21">
        <f t="shared" si="51"/>
        <v>1.2422199506118559E-2</v>
      </c>
      <c r="L194" s="27">
        <f t="shared" si="55"/>
        <v>14443.637143317485</v>
      </c>
      <c r="M194" s="35">
        <f t="shared" si="52"/>
        <v>88377.765800075009</v>
      </c>
      <c r="N194" s="35">
        <f t="shared" si="53"/>
        <v>87279.919561401446</v>
      </c>
      <c r="O194" s="17">
        <f t="shared" si="38"/>
        <v>1097.8462386735628</v>
      </c>
    </row>
    <row r="195" spans="2:15" x14ac:dyDescent="0.25">
      <c r="B195" s="1">
        <v>84</v>
      </c>
      <c r="C195" s="4"/>
      <c r="F195" s="11">
        <f t="shared" si="54"/>
        <v>10244.000783751022</v>
      </c>
      <c r="G195" s="6">
        <f t="shared" si="48"/>
        <v>2.2248762806663658E-2</v>
      </c>
      <c r="H195" s="23">
        <f t="shared" si="49"/>
        <v>53756.852438097703</v>
      </c>
      <c r="I195" s="23">
        <f t="shared" si="50"/>
        <v>52560.82897896965</v>
      </c>
      <c r="J195" s="11">
        <f t="shared" si="35"/>
        <v>1196.0234591280532</v>
      </c>
      <c r="K195" s="21">
        <f t="shared" si="51"/>
        <v>1.2422199506118559E-2</v>
      </c>
      <c r="L195" s="27">
        <f t="shared" si="55"/>
        <v>14443.637143317485</v>
      </c>
      <c r="M195" s="35">
        <f t="shared" si="52"/>
        <v>73543.430791075079</v>
      </c>
      <c r="N195" s="35">
        <f t="shared" si="53"/>
        <v>72629.859621423908</v>
      </c>
      <c r="O195" s="17">
        <f t="shared" si="38"/>
        <v>913.57116965117166</v>
      </c>
    </row>
    <row r="196" spans="2:15" x14ac:dyDescent="0.25">
      <c r="B196" s="1">
        <v>85</v>
      </c>
      <c r="C196" s="4"/>
      <c r="F196" s="11">
        <f t="shared" si="54"/>
        <v>10244.000783751022</v>
      </c>
      <c r="G196" s="6">
        <f t="shared" si="48"/>
        <v>2.2248762806663658E-2</v>
      </c>
      <c r="H196" s="23">
        <f t="shared" si="49"/>
        <v>42727.67118740522</v>
      </c>
      <c r="I196" s="23">
        <f t="shared" si="50"/>
        <v>41777.033365875519</v>
      </c>
      <c r="J196" s="11">
        <f t="shared" si="35"/>
        <v>950.63782152970089</v>
      </c>
      <c r="K196" s="21">
        <f t="shared" si="51"/>
        <v>1.2422199506118559E-2</v>
      </c>
      <c r="L196" s="27">
        <f t="shared" si="55"/>
        <v>14443.637143317485</v>
      </c>
      <c r="M196" s="35">
        <f t="shared" si="52"/>
        <v>58751.137259447263</v>
      </c>
      <c r="N196" s="35">
        <f t="shared" si="53"/>
        <v>58021.318911199058</v>
      </c>
      <c r="O196" s="17">
        <f t="shared" si="38"/>
        <v>729.81834824820544</v>
      </c>
    </row>
    <row r="197" spans="2:15" x14ac:dyDescent="0.25">
      <c r="B197" s="1">
        <v>86</v>
      </c>
      <c r="C197" s="4"/>
      <c r="F197" s="11">
        <f t="shared" si="54"/>
        <v>10244.000783751022</v>
      </c>
      <c r="G197" s="6">
        <f t="shared" si="48"/>
        <v>2.2248762806663658E-2</v>
      </c>
      <c r="H197" s="23">
        <f t="shared" si="49"/>
        <v>31839.178529523768</v>
      </c>
      <c r="I197" s="23">
        <f t="shared" si="50"/>
        <v>31130.796198461376</v>
      </c>
      <c r="J197" s="11">
        <f t="shared" si="35"/>
        <v>708.38233106239204</v>
      </c>
      <c r="K197" s="21">
        <f t="shared" si="51"/>
        <v>1.2422199506118559E-2</v>
      </c>
      <c r="L197" s="27">
        <f t="shared" si="55"/>
        <v>14443.637143317485</v>
      </c>
      <c r="M197" s="35">
        <f t="shared" si="52"/>
        <v>44000.766056890126</v>
      </c>
      <c r="N197" s="35">
        <f t="shared" si="53"/>
        <v>43454.17976250939</v>
      </c>
      <c r="O197" s="17">
        <f t="shared" si="38"/>
        <v>546.58629438073694</v>
      </c>
    </row>
    <row r="198" spans="2:15" x14ac:dyDescent="0.25">
      <c r="B198" s="1">
        <v>87</v>
      </c>
      <c r="C198" s="4"/>
      <c r="F198" s="11">
        <f t="shared" si="54"/>
        <v>10244.000783751022</v>
      </c>
      <c r="G198" s="6">
        <f t="shared" si="48"/>
        <v>2.2248762806663658E-2</v>
      </c>
      <c r="H198" s="23">
        <f t="shared" si="49"/>
        <v>21089.579836212393</v>
      </c>
      <c r="I198" s="23">
        <f t="shared" si="50"/>
        <v>20620.36277674431</v>
      </c>
      <c r="J198" s="11">
        <f t="shared" si="35"/>
        <v>469.21705946808288</v>
      </c>
      <c r="K198" s="21">
        <f t="shared" si="51"/>
        <v>1.2422199506118559E-2</v>
      </c>
      <c r="L198" s="27">
        <f t="shared" si="55"/>
        <v>14443.637143317485</v>
      </c>
      <c r="M198" s="35">
        <f t="shared" si="52"/>
        <v>29292.198372776289</v>
      </c>
      <c r="N198" s="35">
        <f t="shared" si="53"/>
        <v>28928.32484061686</v>
      </c>
      <c r="O198" s="17">
        <f t="shared" si="38"/>
        <v>363.87353215942858</v>
      </c>
    </row>
    <row r="199" spans="2:15" x14ac:dyDescent="0.25">
      <c r="B199" s="1">
        <v>88</v>
      </c>
      <c r="C199" s="4"/>
      <c r="F199" s="11">
        <f t="shared" si="54"/>
        <v>10244.000783751022</v>
      </c>
      <c r="G199" s="6">
        <f t="shared" si="48"/>
        <v>2.2248762806663658E-2</v>
      </c>
      <c r="H199" s="23">
        <f t="shared" si="49"/>
        <v>10477.10337156604</v>
      </c>
      <c r="I199" s="23">
        <f t="shared" si="50"/>
        <v>10244.000783751171</v>
      </c>
      <c r="J199" s="11">
        <f t="shared" si="35"/>
        <v>233.10258781486846</v>
      </c>
      <c r="K199" s="21">
        <f t="shared" si="51"/>
        <v>1.2422199506118559E-2</v>
      </c>
      <c r="L199" s="27">
        <f t="shared" si="55"/>
        <v>14443.637143317485</v>
      </c>
      <c r="M199" s="35">
        <f t="shared" si="52"/>
        <v>14625.315733195486</v>
      </c>
      <c r="N199" s="35">
        <f t="shared" si="53"/>
        <v>14443.637143317757</v>
      </c>
      <c r="O199" s="17">
        <f t="shared" si="38"/>
        <v>181.67858987772888</v>
      </c>
    </row>
    <row r="200" spans="2:15" x14ac:dyDescent="0.25">
      <c r="B200" s="1">
        <v>89</v>
      </c>
      <c r="C200" s="4"/>
      <c r="F200" s="11">
        <f t="shared" si="54"/>
        <v>10244.000783751022</v>
      </c>
      <c r="G200" s="6">
        <f t="shared" si="48"/>
        <v>2.2248762806663658E-2</v>
      </c>
      <c r="H200" s="23">
        <f t="shared" si="49"/>
        <v>1.5060525857707829E-10</v>
      </c>
      <c r="I200" s="23">
        <f t="shared" si="50"/>
        <v>1.4725447790156062E-10</v>
      </c>
      <c r="J200" s="11">
        <f t="shared" si="35"/>
        <v>3.3507806755176721E-12</v>
      </c>
      <c r="K200" s="21">
        <f t="shared" si="51"/>
        <v>1.2422199506118559E-2</v>
      </c>
      <c r="L200" s="27">
        <f t="shared" si="55"/>
        <v>14443.637143317485</v>
      </c>
      <c r="M200" s="35">
        <f t="shared" si="52"/>
        <v>2.7549742422636272E-10</v>
      </c>
      <c r="N200" s="35">
        <f t="shared" si="53"/>
        <v>2.7207514025920104E-10</v>
      </c>
      <c r="O200" s="17">
        <f t="shared" si="38"/>
        <v>3.422283967161679E-12</v>
      </c>
    </row>
    <row r="201" spans="2:15" x14ac:dyDescent="0.25">
      <c r="B201" s="1" t="s">
        <v>40</v>
      </c>
      <c r="C201" s="28"/>
      <c r="D201" s="28"/>
      <c r="E201" s="28"/>
      <c r="F201" s="32"/>
      <c r="G201" s="102"/>
      <c r="H201" s="31"/>
      <c r="I201" s="31"/>
      <c r="J201" s="32"/>
      <c r="K201" s="30"/>
      <c r="L201" s="33"/>
      <c r="M201" s="31"/>
      <c r="N201" s="31"/>
      <c r="O201" s="32"/>
    </row>
  </sheetData>
  <sheetProtection sheet="1" objects="1" scenarios="1" selectLockedCells="1"/>
  <hyperlinks>
    <hyperlink ref="H2" r:id="rId1" display="http://www.twitter.com/preetbanerjee"/>
    <hyperlink ref="L2" r:id="rId2" display="http://www.twitter.com/mjonmoney"/>
  </hyperlinks>
  <pageMargins left="0.7" right="0.7" top="0.75" bottom="0.75" header="0.3" footer="0.3"/>
  <pageSetup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Sheet1</vt:lpstr>
      <vt:lpstr>benchmarkgrowthrate1</vt:lpstr>
      <vt:lpstr>benchmarkgrowthrate2</vt:lpstr>
      <vt:lpstr>benchmarkgrowthrate3</vt:lpstr>
      <vt:lpstr>ccca1</vt:lpstr>
      <vt:lpstr>ccca2</vt:lpstr>
      <vt:lpstr>ccca3</vt:lpstr>
      <vt:lpstr>cccb1</vt:lpstr>
      <vt:lpstr>cccb2</vt:lpstr>
      <vt:lpstr>cccb3</vt:lpstr>
      <vt:lpstr>costa1</vt:lpstr>
      <vt:lpstr>costportfolioA1</vt:lpstr>
      <vt:lpstr>costportfolioA2</vt:lpstr>
      <vt:lpstr>costportfolioA3</vt:lpstr>
      <vt:lpstr>costportfolioB1</vt:lpstr>
      <vt:lpstr>costportfolioB2</vt:lpstr>
      <vt:lpstr>costportfolioB3</vt:lpstr>
      <vt:lpstr>incomegrowthrate1</vt:lpstr>
      <vt:lpstr>incomegrowthrate2</vt:lpstr>
      <vt:lpstr>inflationrate1</vt:lpstr>
      <vt:lpstr>inflationrate2</vt:lpstr>
      <vt:lpstr>inflationrate3</vt:lpstr>
      <vt:lpstr>rate</vt:lpstr>
      <vt:lpstr>savingsrate1</vt:lpstr>
      <vt:lpstr>savingsrate2</vt:lpstr>
      <vt:lpstr>startingincome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Preet Banerjee</cp:lastModifiedBy>
  <dcterms:created xsi:type="dcterms:W3CDTF">2014-03-11T03:09:26Z</dcterms:created>
  <dcterms:modified xsi:type="dcterms:W3CDTF">2015-08-19T02:39:23Z</dcterms:modified>
</cp:coreProperties>
</file>